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1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9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.xml" ContentType="application/vnd.openxmlformats-officedocument.drawing+xml"/>
  <Override PartName="/xl/metadata.xml" ContentType="application/vnd.openxmlformats-officedocument.spreadsheetml.sheetMetadata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93E72A0-E067-49D9-AEEF-A2BFE68D0A3D}" xr6:coauthVersionLast="47" xr6:coauthVersionMax="47" xr10:uidLastSave="{00000000-0000-0000-0000-000000000000}"/>
  <workbookProtection workbookAlgorithmName="SHA-512" workbookHashValue="ajLv8uMzhxBzxZ+WJGWjLH/tvQEwlEW5yZA5EIrQP5DEwPnF4BAfox3LP6p3f0wGx5Uhjl5qTj/5WduiUyM8fw==" workbookSaltValue="821Fk8Au5N7iAba2rir2bA==" workbookSpinCount="100000" lockStructure="1"/>
  <bookViews>
    <workbookView xWindow="-28920" yWindow="-120" windowWidth="29040" windowHeight="15720" tabRatio="734" xr2:uid="{00000000-000D-0000-FFFF-FFFF00000000}"/>
  </bookViews>
  <sheets>
    <sheet name="Tulostus" sheetId="5" r:id="rId1"/>
    <sheet name="SFP ja kokonaisteho" sheetId="14" state="hidden" r:id="rId2"/>
    <sheet name="Laskenta tulopuoli" sheetId="11" state="hidden" r:id="rId3"/>
    <sheet name="Laskenta poistopuoli" sheetId="17" state="hidden" r:id="rId4"/>
    <sheet name="Laskenta poistopuoli_W" sheetId="13" state="hidden" r:id="rId5"/>
    <sheet name="Laskenta äänitehotasot" sheetId="15" state="hidden" r:id="rId6"/>
    <sheet name="SEC laskenta" sheetId="3" state="hidden" r:id="rId7"/>
    <sheet name="LTO HS-laskenta" sheetId="6" state="hidden" r:id="rId8"/>
    <sheet name="LTO-kennon HS" sheetId="16" state="hidden" r:id="rId9"/>
    <sheet name="Loki" sheetId="10" state="hidden" r:id="rId10"/>
    <sheet name="Validointi" sheetId="18" state="hidden" r:id="rId11"/>
  </sheets>
  <definedNames>
    <definedName name="_xlnm.Print_Area" localSheetId="6">'SEC laskenta'!$B$2:$N$3</definedName>
    <definedName name="_xlnm.Print_Area" localSheetId="0">Tulostus!$B$2:$N$74,Tulostus!$Q$1:$AC$74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8" i="18" l="1"/>
  <c r="F44" i="18"/>
  <c r="F50" i="18"/>
  <c r="F56" i="18"/>
  <c r="F62" i="18"/>
  <c r="F68" i="18"/>
  <c r="F74" i="18"/>
  <c r="F83" i="18"/>
  <c r="F107" i="18"/>
  <c r="F108" i="18" s="1"/>
  <c r="E112" i="18"/>
  <c r="D112" i="18"/>
  <c r="C112" i="18"/>
  <c r="Q107" i="18"/>
  <c r="P107" i="18"/>
  <c r="O107" i="18"/>
  <c r="N107" i="18"/>
  <c r="M107" i="18"/>
  <c r="L107" i="18"/>
  <c r="K107" i="18"/>
  <c r="J107" i="18"/>
  <c r="H107" i="18"/>
  <c r="G107" i="18"/>
  <c r="E107" i="18"/>
  <c r="D107" i="18"/>
  <c r="C107" i="18"/>
  <c r="E88" i="18" l="1"/>
  <c r="D88" i="18"/>
  <c r="C88" i="18"/>
  <c r="Q83" i="18"/>
  <c r="P83" i="18"/>
  <c r="O83" i="18"/>
  <c r="N83" i="18"/>
  <c r="M83" i="18"/>
  <c r="L83" i="18"/>
  <c r="K83" i="18"/>
  <c r="J83" i="18"/>
  <c r="H83" i="18"/>
  <c r="G83" i="18"/>
  <c r="E83" i="18"/>
  <c r="D83" i="18"/>
  <c r="C83" i="18"/>
  <c r="F84" i="18"/>
  <c r="F75" i="18"/>
  <c r="F73" i="18"/>
  <c r="F69" i="18"/>
  <c r="F63" i="18"/>
  <c r="F57" i="18"/>
  <c r="F67" i="18"/>
  <c r="F61" i="18"/>
  <c r="F55" i="18"/>
  <c r="F51" i="18"/>
  <c r="F49" i="18"/>
  <c r="F43" i="18"/>
  <c r="F37" i="18" l="1"/>
  <c r="AN96" i="15" l="1"/>
  <c r="AP71" i="15"/>
  <c r="AM71" i="15"/>
  <c r="AN71" i="15"/>
  <c r="AO71" i="15"/>
  <c r="AL71" i="15"/>
  <c r="AT71" i="15" a="1"/>
  <c r="AN24" i="15"/>
  <c r="AM24" i="15"/>
  <c r="AL23" i="15"/>
  <c r="AL24" i="15"/>
  <c r="AN23" i="15"/>
  <c r="AM23" i="15"/>
  <c r="J95" i="17" a="1"/>
  <c r="J95" i="17" s="1"/>
  <c r="J97" i="11" a="1"/>
  <c r="J97" i="11" s="1"/>
  <c r="J96" i="11" a="1"/>
  <c r="J96" i="11" s="1"/>
  <c r="J95" i="11" a="1"/>
  <c r="J95" i="11" s="1"/>
  <c r="N45" i="14"/>
  <c r="J16" i="16" a="1"/>
  <c r="J16" i="16" s="1"/>
  <c r="F7" i="16"/>
  <c r="J19" i="16" s="1"/>
  <c r="Q16" i="3"/>
  <c r="I9" i="16"/>
  <c r="E23" i="16"/>
  <c r="E22" i="16"/>
  <c r="X22" i="3"/>
  <c r="AT71" i="15" l="1"/>
  <c r="L95" i="17"/>
  <c r="K95" i="17"/>
  <c r="L97" i="11"/>
  <c r="K97" i="11"/>
  <c r="K96" i="11"/>
  <c r="L96" i="11"/>
  <c r="L95" i="11"/>
  <c r="K95" i="11"/>
  <c r="L16" i="16"/>
  <c r="K16" i="16"/>
  <c r="D4" i="14" l="1"/>
  <c r="F8" i="17"/>
  <c r="F54" i="17" s="1"/>
  <c r="F8" i="11"/>
  <c r="F13" i="11" s="1"/>
  <c r="AF19" i="17"/>
  <c r="AF19" i="11"/>
  <c r="AG19" i="17"/>
  <c r="AG19" i="11"/>
  <c r="AG18" i="17"/>
  <c r="AG18" i="11"/>
  <c r="C109" i="17" a="1"/>
  <c r="C109" i="17" s="1"/>
  <c r="C107" i="17" a="1"/>
  <c r="D107" i="17" s="1"/>
  <c r="E54" i="17"/>
  <c r="C109" i="11" a="1"/>
  <c r="D109" i="11" s="1"/>
  <c r="C108" i="11" a="1"/>
  <c r="E108" i="11" s="1"/>
  <c r="C107" i="11" a="1"/>
  <c r="C107" i="11"/>
  <c r="D107" i="11"/>
  <c r="E107" i="11"/>
  <c r="C106" i="11" a="1"/>
  <c r="D106" i="11" s="1"/>
  <c r="C105" i="11" a="1"/>
  <c r="D105" i="11" s="1"/>
  <c r="J13" i="11" a="1"/>
  <c r="L13" i="11" s="1"/>
  <c r="J10" i="11" a="1"/>
  <c r="J10" i="11"/>
  <c r="K10" i="11"/>
  <c r="L10" i="11"/>
  <c r="E41" i="11"/>
  <c r="E42" i="11"/>
  <c r="J9" i="11" a="1"/>
  <c r="J9" i="11" s="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F16" i="11" l="1"/>
  <c r="F15" i="11"/>
  <c r="F14" i="11"/>
  <c r="F12" i="11"/>
  <c r="F23" i="11"/>
  <c r="F11" i="11"/>
  <c r="F22" i="11"/>
  <c r="F21" i="11"/>
  <c r="F10" i="11"/>
  <c r="F20" i="11"/>
  <c r="F42" i="11"/>
  <c r="F18" i="11"/>
  <c r="F17" i="11"/>
  <c r="F19" i="11"/>
  <c r="F41" i="11"/>
  <c r="F24" i="11"/>
  <c r="D109" i="17"/>
  <c r="E109" i="17"/>
  <c r="E107" i="17"/>
  <c r="C107" i="17"/>
  <c r="C109" i="11"/>
  <c r="E109" i="11"/>
  <c r="D108" i="11"/>
  <c r="C108" i="11"/>
  <c r="E106" i="11"/>
  <c r="C106" i="11"/>
  <c r="C105" i="11"/>
  <c r="E105" i="11"/>
  <c r="K13" i="11"/>
  <c r="J13" i="11"/>
  <c r="L9" i="11"/>
  <c r="K9" i="11"/>
  <c r="H74" i="18" l="1"/>
  <c r="G74" i="18"/>
  <c r="Q74" i="18"/>
  <c r="P74" i="18"/>
  <c r="O74" i="18"/>
  <c r="J74" i="18"/>
  <c r="N74" i="18"/>
  <c r="M74" i="18"/>
  <c r="L74" i="18"/>
  <c r="K74" i="18"/>
  <c r="E74" i="18"/>
  <c r="D74" i="18"/>
  <c r="C74" i="18"/>
  <c r="Q68" i="18"/>
  <c r="P68" i="18"/>
  <c r="O68" i="18"/>
  <c r="N68" i="18"/>
  <c r="M68" i="18"/>
  <c r="L68" i="18"/>
  <c r="H68" i="18"/>
  <c r="G68" i="18"/>
  <c r="K68" i="18"/>
  <c r="J68" i="18"/>
  <c r="E68" i="18"/>
  <c r="D68" i="18"/>
  <c r="C68" i="18"/>
  <c r="Q62" i="18"/>
  <c r="P62" i="18"/>
  <c r="O62" i="18"/>
  <c r="N62" i="18"/>
  <c r="M62" i="18"/>
  <c r="L62" i="18"/>
  <c r="K62" i="18"/>
  <c r="H62" i="18"/>
  <c r="G62" i="18"/>
  <c r="J62" i="18"/>
  <c r="E62" i="18"/>
  <c r="D62" i="18"/>
  <c r="C62" i="18"/>
  <c r="J56" i="18"/>
  <c r="Q56" i="18"/>
  <c r="P56" i="18"/>
  <c r="O56" i="18"/>
  <c r="N56" i="18"/>
  <c r="M56" i="18"/>
  <c r="L56" i="18"/>
  <c r="K56" i="18"/>
  <c r="H56" i="18"/>
  <c r="G56" i="18"/>
  <c r="E56" i="18"/>
  <c r="D56" i="18"/>
  <c r="C56" i="18"/>
  <c r="I71" i="17" l="1"/>
  <c r="I70" i="17"/>
  <c r="I69" i="17"/>
  <c r="I68" i="17"/>
  <c r="I69" i="11"/>
  <c r="I70" i="11"/>
  <c r="I71" i="11"/>
  <c r="I68" i="11"/>
  <c r="J12" i="11" l="1" a="1"/>
  <c r="J12" i="11" s="1"/>
  <c r="J11" i="11" a="1"/>
  <c r="J11" i="11" s="1"/>
  <c r="L12" i="11" l="1"/>
  <c r="K12" i="11"/>
  <c r="L11" i="11"/>
  <c r="K11" i="11"/>
  <c r="AA7" i="5" l="1"/>
  <c r="D50" i="18"/>
  <c r="E50" i="18"/>
  <c r="G50" i="18"/>
  <c r="H50" i="18"/>
  <c r="J50" i="18"/>
  <c r="K50" i="18"/>
  <c r="L50" i="18"/>
  <c r="M50" i="18"/>
  <c r="N50" i="18"/>
  <c r="O50" i="18"/>
  <c r="P50" i="18"/>
  <c r="Q50" i="18"/>
  <c r="C50" i="18"/>
  <c r="H44" i="18"/>
  <c r="G44" i="18"/>
  <c r="Q44" i="18"/>
  <c r="P44" i="18"/>
  <c r="O44" i="18"/>
  <c r="N44" i="18"/>
  <c r="M44" i="18"/>
  <c r="L44" i="18"/>
  <c r="K44" i="18"/>
  <c r="J44" i="18"/>
  <c r="F45" i="18"/>
  <c r="E44" i="18"/>
  <c r="D44" i="18"/>
  <c r="C44" i="18"/>
  <c r="D38" i="18"/>
  <c r="E38" i="18"/>
  <c r="F39" i="18"/>
  <c r="G38" i="18"/>
  <c r="H38" i="18"/>
  <c r="J38" i="18"/>
  <c r="K38" i="18"/>
  <c r="L38" i="18"/>
  <c r="M38" i="18"/>
  <c r="N38" i="18"/>
  <c r="O38" i="18"/>
  <c r="P38" i="18"/>
  <c r="Q38" i="18"/>
  <c r="C38" i="18"/>
  <c r="D27" i="18"/>
  <c r="E27" i="18"/>
  <c r="H27" i="18"/>
  <c r="I27" i="18"/>
  <c r="J27" i="18"/>
  <c r="L27" i="18"/>
  <c r="M27" i="18"/>
  <c r="N27" i="18"/>
  <c r="O27" i="18"/>
  <c r="P27" i="18"/>
  <c r="Q27" i="18"/>
  <c r="R27" i="18"/>
  <c r="S27" i="18"/>
  <c r="G27" i="18"/>
  <c r="F27" i="18"/>
  <c r="D20" i="18"/>
  <c r="F20" i="18"/>
  <c r="G20" i="18"/>
  <c r="H20" i="18"/>
  <c r="J20" i="18"/>
  <c r="K20" i="18"/>
  <c r="L20" i="18"/>
  <c r="M20" i="18"/>
  <c r="N20" i="18"/>
  <c r="O20" i="18"/>
  <c r="P20" i="18"/>
  <c r="Q20" i="18"/>
  <c r="C20" i="18"/>
  <c r="E20" i="18"/>
  <c r="D13" i="18"/>
  <c r="E13" i="18"/>
  <c r="F13" i="18"/>
  <c r="G13" i="18"/>
  <c r="H13" i="18"/>
  <c r="J13" i="18"/>
  <c r="K13" i="18"/>
  <c r="L13" i="18"/>
  <c r="M13" i="18"/>
  <c r="N13" i="18"/>
  <c r="O13" i="18"/>
  <c r="P13" i="18"/>
  <c r="Q13" i="18"/>
  <c r="C13" i="18"/>
  <c r="AM5" i="17"/>
  <c r="AM9" i="17"/>
  <c r="F68" i="17"/>
  <c r="F59" i="17"/>
  <c r="C108" i="17" a="1"/>
  <c r="C108" i="17" s="1"/>
  <c r="J12" i="17" s="1"/>
  <c r="J13" i="17"/>
  <c r="F70" i="17"/>
  <c r="E70" i="17"/>
  <c r="F69" i="17"/>
  <c r="E69" i="17"/>
  <c r="E68" i="17"/>
  <c r="E60" i="17"/>
  <c r="E61" i="17"/>
  <c r="E62" i="17"/>
  <c r="E63" i="17"/>
  <c r="E59" i="17"/>
  <c r="F47" i="17"/>
  <c r="F48" i="17"/>
  <c r="F49" i="17"/>
  <c r="F50" i="17"/>
  <c r="F51" i="17"/>
  <c r="F52" i="17"/>
  <c r="F53" i="17"/>
  <c r="E47" i="17"/>
  <c r="E48" i="17"/>
  <c r="E49" i="17"/>
  <c r="E50" i="17"/>
  <c r="E51" i="17"/>
  <c r="E52" i="17"/>
  <c r="E53" i="17"/>
  <c r="E46" i="17"/>
  <c r="F31" i="17"/>
  <c r="F32" i="17"/>
  <c r="F33" i="17"/>
  <c r="F34" i="17"/>
  <c r="F35" i="17"/>
  <c r="F36" i="17"/>
  <c r="F37" i="17"/>
  <c r="F38" i="17"/>
  <c r="F39" i="17"/>
  <c r="F40" i="17"/>
  <c r="F41" i="17"/>
  <c r="E31" i="17"/>
  <c r="E32" i="17"/>
  <c r="E33" i="17"/>
  <c r="E34" i="17"/>
  <c r="E35" i="17"/>
  <c r="E36" i="17"/>
  <c r="E37" i="17"/>
  <c r="E38" i="17"/>
  <c r="E39" i="17"/>
  <c r="E40" i="17"/>
  <c r="E41" i="17"/>
  <c r="E30" i="17"/>
  <c r="F30" i="17"/>
  <c r="J96" i="17" s="1" a="1"/>
  <c r="C106" i="17" a="1"/>
  <c r="K10" i="17" s="1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10" i="17"/>
  <c r="AN11" i="11"/>
  <c r="AN7" i="11"/>
  <c r="AM5" i="11"/>
  <c r="AM9" i="11"/>
  <c r="AN9" i="11" s="1"/>
  <c r="K49" i="11"/>
  <c r="L49" i="11"/>
  <c r="K48" i="11"/>
  <c r="L48" i="11"/>
  <c r="C114" i="11"/>
  <c r="E69" i="11"/>
  <c r="F70" i="11"/>
  <c r="E70" i="11"/>
  <c r="F69" i="11"/>
  <c r="F68" i="11"/>
  <c r="J99" i="11" s="1" a="1"/>
  <c r="E68" i="11"/>
  <c r="F59" i="11"/>
  <c r="E59" i="11"/>
  <c r="F50" i="11"/>
  <c r="F51" i="11"/>
  <c r="F52" i="11"/>
  <c r="F53" i="11"/>
  <c r="E50" i="11"/>
  <c r="E51" i="11"/>
  <c r="E52" i="11"/>
  <c r="E53" i="11"/>
  <c r="F32" i="11"/>
  <c r="F33" i="11"/>
  <c r="F34" i="11"/>
  <c r="F35" i="11"/>
  <c r="F36" i="11"/>
  <c r="F37" i="11"/>
  <c r="F38" i="11"/>
  <c r="F39" i="11"/>
  <c r="F40" i="11"/>
  <c r="E32" i="11"/>
  <c r="E33" i="11"/>
  <c r="E34" i="11"/>
  <c r="E35" i="11"/>
  <c r="E36" i="11"/>
  <c r="E37" i="11"/>
  <c r="E38" i="11"/>
  <c r="E39" i="11"/>
  <c r="E40" i="11"/>
  <c r="E82" i="11"/>
  <c r="E82" i="17"/>
  <c r="E84" i="17"/>
  <c r="E83" i="17"/>
  <c r="E81" i="17"/>
  <c r="E81" i="11"/>
  <c r="E84" i="11"/>
  <c r="E83" i="11"/>
  <c r="R9" i="16"/>
  <c r="K96" i="17" l="1"/>
  <c r="J96" i="17"/>
  <c r="L96" i="17"/>
  <c r="J99" i="17" a="1"/>
  <c r="K99" i="11"/>
  <c r="L99" i="11"/>
  <c r="J99" i="11"/>
  <c r="L13" i="17"/>
  <c r="L49" i="17" s="1"/>
  <c r="K13" i="17"/>
  <c r="K49" i="17" s="1"/>
  <c r="K12" i="17"/>
  <c r="L12" i="17"/>
  <c r="L10" i="17"/>
  <c r="AM8" i="17"/>
  <c r="AM10" i="17"/>
  <c r="C106" i="17"/>
  <c r="AM10" i="11"/>
  <c r="AN10" i="11" s="1"/>
  <c r="AM8" i="11"/>
  <c r="AN8" i="11" s="1"/>
  <c r="C113" i="11"/>
  <c r="C112" i="11"/>
  <c r="D86" i="17" a="1"/>
  <c r="E86" i="17" s="1"/>
  <c r="D86" i="11" a="1"/>
  <c r="D86" i="11" s="1"/>
  <c r="D112" i="11" s="1"/>
  <c r="S105" i="15"/>
  <c r="S106" i="15"/>
  <c r="S107" i="15"/>
  <c r="S108" i="15"/>
  <c r="S109" i="15"/>
  <c r="S110" i="15"/>
  <c r="S111" i="15"/>
  <c r="S112" i="15"/>
  <c r="S113" i="15"/>
  <c r="S114" i="15"/>
  <c r="S115" i="15"/>
  <c r="S116" i="15"/>
  <c r="S117" i="15"/>
  <c r="S118" i="15"/>
  <c r="S119" i="15"/>
  <c r="S104" i="15"/>
  <c r="J99" i="17" l="1"/>
  <c r="L99" i="17"/>
  <c r="K99" i="17"/>
  <c r="AN10" i="17"/>
  <c r="AN8" i="17"/>
  <c r="AN9" i="17"/>
  <c r="AN7" i="17"/>
  <c r="AN11" i="17"/>
  <c r="C113" i="17"/>
  <c r="J10" i="17"/>
  <c r="D86" i="17"/>
  <c r="D113" i="17" s="1"/>
  <c r="D114" i="11"/>
  <c r="D113" i="11"/>
  <c r="E86" i="11"/>
  <c r="E112" i="11" s="1"/>
  <c r="E113" i="17"/>
  <c r="E114" i="11" l="1"/>
  <c r="E113" i="11"/>
  <c r="AE5" i="17" l="1"/>
  <c r="I24" i="17"/>
  <c r="N132" i="17" s="1"/>
  <c r="I23" i="17"/>
  <c r="N85" i="17"/>
  <c r="I85" i="17"/>
  <c r="O78" i="17"/>
  <c r="O85" i="17" s="1"/>
  <c r="J78" i="17"/>
  <c r="F63" i="17"/>
  <c r="F62" i="17"/>
  <c r="F61" i="17"/>
  <c r="F60" i="17"/>
  <c r="F46" i="17"/>
  <c r="J97" i="17" s="1" a="1"/>
  <c r="AF18" i="17"/>
  <c r="AF17" i="17"/>
  <c r="AF16" i="17"/>
  <c r="AF15" i="17"/>
  <c r="K46" i="17"/>
  <c r="F10" i="17"/>
  <c r="AK9" i="17"/>
  <c r="AK8" i="17" s="1"/>
  <c r="AI9" i="17"/>
  <c r="AI10" i="17" s="1"/>
  <c r="AG9" i="17"/>
  <c r="AG10" i="17" s="1"/>
  <c r="AE9" i="17"/>
  <c r="AE8" i="17" s="1"/>
  <c r="AK5" i="17"/>
  <c r="AI5" i="17"/>
  <c r="AG5" i="17"/>
  <c r="F63" i="11"/>
  <c r="F62" i="11"/>
  <c r="F61" i="11"/>
  <c r="F60" i="11"/>
  <c r="J98" i="11" s="1" a="1"/>
  <c r="F49" i="11"/>
  <c r="F48" i="11"/>
  <c r="F47" i="11"/>
  <c r="F46" i="11"/>
  <c r="F31" i="11"/>
  <c r="J78" i="11"/>
  <c r="AF18" i="11"/>
  <c r="AF17" i="11"/>
  <c r="AF16" i="11"/>
  <c r="AF15" i="11"/>
  <c r="AK5" i="11"/>
  <c r="AI5" i="11"/>
  <c r="AK9" i="11"/>
  <c r="AK10" i="11" s="1"/>
  <c r="AI9" i="11"/>
  <c r="AI10" i="11" s="1"/>
  <c r="AG9" i="11"/>
  <c r="AG10" i="11" s="1"/>
  <c r="AG5" i="11"/>
  <c r="AE9" i="11"/>
  <c r="AE8" i="11" s="1"/>
  <c r="E63" i="11"/>
  <c r="E62" i="11"/>
  <c r="E61" i="11"/>
  <c r="E60" i="11"/>
  <c r="E49" i="11"/>
  <c r="E48" i="11"/>
  <c r="E47" i="11"/>
  <c r="E46" i="11"/>
  <c r="E31" i="11"/>
  <c r="J98" i="17" l="1" a="1"/>
  <c r="L97" i="17"/>
  <c r="K97" i="17"/>
  <c r="J97" i="17"/>
  <c r="L98" i="17"/>
  <c r="K98" i="17"/>
  <c r="J98" i="17"/>
  <c r="K98" i="11"/>
  <c r="L98" i="11"/>
  <c r="J98" i="11"/>
  <c r="N131" i="17"/>
  <c r="N84" i="17"/>
  <c r="O84" i="17" s="1"/>
  <c r="N83" i="17"/>
  <c r="O83" i="17" s="1"/>
  <c r="I83" i="17"/>
  <c r="J83" i="17" s="1"/>
  <c r="I84" i="17"/>
  <c r="J84" i="17" s="1"/>
  <c r="J82" i="17"/>
  <c r="O82" i="17"/>
  <c r="AI8" i="17"/>
  <c r="AE10" i="17"/>
  <c r="L46" i="17"/>
  <c r="AK10" i="17"/>
  <c r="AG8" i="17"/>
  <c r="J32" i="17"/>
  <c r="N133" i="17" s="1"/>
  <c r="J85" i="17"/>
  <c r="N129" i="17"/>
  <c r="J29" i="17"/>
  <c r="AE10" i="11"/>
  <c r="J82" i="11"/>
  <c r="AI8" i="11"/>
  <c r="AK8" i="11"/>
  <c r="AG8" i="11"/>
  <c r="P50" i="17" l="1"/>
  <c r="J49" i="17"/>
  <c r="N134" i="17"/>
  <c r="AH10" i="17"/>
  <c r="AH7" i="17"/>
  <c r="AH11" i="17"/>
  <c r="AG16" i="17" s="1"/>
  <c r="J46" i="17"/>
  <c r="AH9" i="17"/>
  <c r="AH8" i="17"/>
  <c r="AJ8" i="11"/>
  <c r="AJ10" i="11"/>
  <c r="AJ11" i="11"/>
  <c r="AG17" i="11" s="1"/>
  <c r="AJ9" i="11"/>
  <c r="AJ7" i="11"/>
  <c r="AH8" i="11"/>
  <c r="AH7" i="11"/>
  <c r="AH11" i="11"/>
  <c r="AG16" i="11" s="1"/>
  <c r="AH10" i="11"/>
  <c r="AH9" i="11"/>
  <c r="M49" i="17" l="1"/>
  <c r="N49" i="17"/>
  <c r="N46" i="17"/>
  <c r="M46" i="17"/>
  <c r="AC74" i="5"/>
  <c r="R16" i="5"/>
  <c r="R17" i="5"/>
  <c r="R18" i="5"/>
  <c r="R19" i="5"/>
  <c r="R20" i="5"/>
  <c r="R21" i="5"/>
  <c r="R22" i="5"/>
  <c r="R23" i="5"/>
  <c r="R24" i="5"/>
  <c r="R25" i="5"/>
  <c r="R26" i="5"/>
  <c r="R27" i="5"/>
  <c r="E13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AE25" i="6"/>
  <c r="AE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AE42" i="6"/>
  <c r="AE43" i="6"/>
  <c r="AE44" i="6"/>
  <c r="AE45" i="6"/>
  <c r="AE46" i="6"/>
  <c r="AE47" i="6"/>
  <c r="AE48" i="6"/>
  <c r="AE49" i="6"/>
  <c r="AE50" i="6"/>
  <c r="AE51" i="6"/>
  <c r="AE52" i="6"/>
  <c r="AE53" i="6"/>
  <c r="AE54" i="6"/>
  <c r="AE55" i="6"/>
  <c r="AE56" i="6"/>
  <c r="AE57" i="6"/>
  <c r="AE58" i="6"/>
  <c r="AE59" i="6"/>
  <c r="AE60" i="6"/>
  <c r="AE61" i="6"/>
  <c r="AE62" i="6"/>
  <c r="AE63" i="6"/>
  <c r="AE64" i="6"/>
  <c r="AE65" i="6"/>
  <c r="AE66" i="6"/>
  <c r="AE67" i="6"/>
  <c r="AE68" i="6"/>
  <c r="AE69" i="6"/>
  <c r="AE70" i="6"/>
  <c r="AE7" i="6"/>
  <c r="O49" i="17" l="1"/>
  <c r="O46" i="17"/>
  <c r="E27" i="16"/>
  <c r="E28" i="16" s="1"/>
  <c r="D28" i="16"/>
  <c r="E81" i="13"/>
  <c r="D81" i="13"/>
  <c r="K101" i="13" a="1"/>
  <c r="K101" i="13" s="1"/>
  <c r="K43" i="13"/>
  <c r="L43" i="13"/>
  <c r="J13" i="13" a="1"/>
  <c r="J13" i="13" s="1"/>
  <c r="J68" i="17" l="1"/>
  <c r="P49" i="17"/>
  <c r="M99" i="17" s="1"/>
  <c r="N99" i="17" s="1"/>
  <c r="J71" i="17"/>
  <c r="J21" i="16"/>
  <c r="J23" i="16" s="1"/>
  <c r="J25" i="16"/>
  <c r="AG58" i="15"/>
  <c r="P46" i="17"/>
  <c r="M96" i="17" s="1"/>
  <c r="L101" i="13"/>
  <c r="L13" i="13"/>
  <c r="K13" i="13"/>
  <c r="N96" i="17" l="1"/>
  <c r="K25" i="16"/>
  <c r="C9" i="6" s="1"/>
  <c r="D11" i="14"/>
  <c r="D10" i="14"/>
  <c r="K98" i="13" a="1"/>
  <c r="L98" i="13" s="1"/>
  <c r="H87" i="13"/>
  <c r="H88" i="13"/>
  <c r="H89" i="13"/>
  <c r="H90" i="13"/>
  <c r="H91" i="13"/>
  <c r="H92" i="13"/>
  <c r="H93" i="13"/>
  <c r="H94" i="13"/>
  <c r="K97" i="13" s="1" a="1"/>
  <c r="L97" i="13" s="1"/>
  <c r="H95" i="13"/>
  <c r="H96" i="13"/>
  <c r="H97" i="13"/>
  <c r="H98" i="13"/>
  <c r="H99" i="13"/>
  <c r="H100" i="13"/>
  <c r="H101" i="13"/>
  <c r="H102" i="13"/>
  <c r="H103" i="13"/>
  <c r="H104" i="13"/>
  <c r="H105" i="13"/>
  <c r="K99" i="13" s="1" a="1"/>
  <c r="K99" i="13" s="1"/>
  <c r="H106" i="13"/>
  <c r="H107" i="13"/>
  <c r="K100" i="13" s="1" a="1"/>
  <c r="K100" i="13" s="1"/>
  <c r="H108" i="13"/>
  <c r="H109" i="13"/>
  <c r="H110" i="13"/>
  <c r="H111" i="13"/>
  <c r="H86" i="13"/>
  <c r="N94" i="13" s="1"/>
  <c r="D12" i="14" l="1"/>
  <c r="L100" i="13"/>
  <c r="L99" i="13"/>
  <c r="M99" i="13"/>
  <c r="M98" i="13"/>
  <c r="K98" i="13"/>
  <c r="K97" i="13"/>
  <c r="M97" i="13"/>
  <c r="AD108" i="15" a="1"/>
  <c r="AD108" i="15" s="1"/>
  <c r="AD107" i="15" a="1"/>
  <c r="AD107" i="15" s="1"/>
  <c r="AD106" i="15" a="1"/>
  <c r="AD106" i="15" s="1"/>
  <c r="AD105" i="15" a="1"/>
  <c r="AD105" i="15" s="1"/>
  <c r="AS116" i="15"/>
  <c r="AR116" i="15"/>
  <c r="AQ116" i="15"/>
  <c r="AP116" i="15"/>
  <c r="AO116" i="15"/>
  <c r="AN116" i="15"/>
  <c r="AM116" i="15"/>
  <c r="AL116" i="15"/>
  <c r="AS115" i="15"/>
  <c r="AR115" i="15"/>
  <c r="AQ115" i="15"/>
  <c r="AP115" i="15"/>
  <c r="AO115" i="15"/>
  <c r="AN115" i="15"/>
  <c r="AM115" i="15"/>
  <c r="AL115" i="15"/>
  <c r="AS114" i="15"/>
  <c r="AR114" i="15"/>
  <c r="AQ114" i="15"/>
  <c r="AP114" i="15"/>
  <c r="AO114" i="15"/>
  <c r="AN114" i="15"/>
  <c r="AM114" i="15"/>
  <c r="AL114" i="15"/>
  <c r="AS113" i="15"/>
  <c r="AR113" i="15"/>
  <c r="AQ113" i="15"/>
  <c r="AP113" i="15"/>
  <c r="AO113" i="15"/>
  <c r="AN113" i="15"/>
  <c r="AM113" i="15"/>
  <c r="AL113" i="15"/>
  <c r="AS112" i="15"/>
  <c r="AR112" i="15"/>
  <c r="AQ112" i="15"/>
  <c r="AP112" i="15"/>
  <c r="AO112" i="15"/>
  <c r="AN112" i="15"/>
  <c r="AM112" i="15"/>
  <c r="AL112" i="15"/>
  <c r="AS111" i="15"/>
  <c r="AR111" i="15"/>
  <c r="AQ111" i="15"/>
  <c r="AP111" i="15"/>
  <c r="AO111" i="15"/>
  <c r="AN111" i="15"/>
  <c r="AM111" i="15"/>
  <c r="AL111" i="15"/>
  <c r="AS110" i="15"/>
  <c r="AR110" i="15"/>
  <c r="AQ110" i="15"/>
  <c r="AP110" i="15"/>
  <c r="AO110" i="15"/>
  <c r="AN110" i="15"/>
  <c r="AM110" i="15"/>
  <c r="AL110" i="15"/>
  <c r="AS109" i="15"/>
  <c r="AR109" i="15"/>
  <c r="AQ109" i="15"/>
  <c r="AP109" i="15"/>
  <c r="AO109" i="15"/>
  <c r="AN109" i="15"/>
  <c r="AM109" i="15"/>
  <c r="AL109" i="15"/>
  <c r="AS108" i="15"/>
  <c r="AR108" i="15"/>
  <c r="AQ108" i="15"/>
  <c r="AP108" i="15"/>
  <c r="AO108" i="15"/>
  <c r="AN108" i="15"/>
  <c r="AM108" i="15"/>
  <c r="AL108" i="15"/>
  <c r="AS107" i="15"/>
  <c r="AR107" i="15"/>
  <c r="AQ107" i="15"/>
  <c r="AP107" i="15"/>
  <c r="AO107" i="15"/>
  <c r="AN107" i="15"/>
  <c r="AM107" i="15"/>
  <c r="AL107" i="15"/>
  <c r="AS106" i="15"/>
  <c r="AR106" i="15"/>
  <c r="AQ106" i="15"/>
  <c r="AP106" i="15"/>
  <c r="AO106" i="15"/>
  <c r="AN106" i="15"/>
  <c r="AM106" i="15"/>
  <c r="AL106" i="15"/>
  <c r="AS105" i="15"/>
  <c r="AR105" i="15"/>
  <c r="AQ105" i="15"/>
  <c r="AP105" i="15"/>
  <c r="AO105" i="15"/>
  <c r="AN105" i="15"/>
  <c r="AM105" i="15"/>
  <c r="AL105" i="15"/>
  <c r="AS104" i="15"/>
  <c r="AR104" i="15"/>
  <c r="AQ104" i="15"/>
  <c r="AP104" i="15"/>
  <c r="AO104" i="15"/>
  <c r="AN104" i="15"/>
  <c r="AM104" i="15"/>
  <c r="AL104" i="15"/>
  <c r="AS103" i="15"/>
  <c r="AR103" i="15"/>
  <c r="AQ103" i="15"/>
  <c r="AP103" i="15"/>
  <c r="AO103" i="15"/>
  <c r="AN103" i="15"/>
  <c r="AM103" i="15"/>
  <c r="AL103" i="15"/>
  <c r="AS102" i="15"/>
  <c r="AR102" i="15"/>
  <c r="AQ102" i="15"/>
  <c r="AP102" i="15"/>
  <c r="AO102" i="15"/>
  <c r="AN102" i="15"/>
  <c r="AM102" i="15"/>
  <c r="AL102" i="15"/>
  <c r="AS101" i="15"/>
  <c r="AR101" i="15"/>
  <c r="AQ101" i="15"/>
  <c r="AP101" i="15"/>
  <c r="AO101" i="15"/>
  <c r="AN101" i="15"/>
  <c r="AM101" i="15"/>
  <c r="AL101" i="15"/>
  <c r="AS100" i="15"/>
  <c r="AR100" i="15"/>
  <c r="AQ100" i="15"/>
  <c r="AP100" i="15"/>
  <c r="AO100" i="15"/>
  <c r="AN100" i="15"/>
  <c r="AM100" i="15"/>
  <c r="AL100" i="15"/>
  <c r="AS92" i="15"/>
  <c r="AR92" i="15"/>
  <c r="AQ92" i="15"/>
  <c r="AP92" i="15"/>
  <c r="AO92" i="15"/>
  <c r="AN92" i="15"/>
  <c r="AM92" i="15"/>
  <c r="AL92" i="15"/>
  <c r="AS91" i="15"/>
  <c r="AR91" i="15"/>
  <c r="AQ91" i="15"/>
  <c r="AP91" i="15"/>
  <c r="AO91" i="15"/>
  <c r="AN91" i="15"/>
  <c r="AM91" i="15"/>
  <c r="AL91" i="15"/>
  <c r="AS90" i="15"/>
  <c r="AR90" i="15"/>
  <c r="AQ90" i="15"/>
  <c r="AP90" i="15"/>
  <c r="AO90" i="15"/>
  <c r="AN90" i="15"/>
  <c r="AM90" i="15"/>
  <c r="AL90" i="15"/>
  <c r="AS89" i="15"/>
  <c r="AS96" i="15" s="1"/>
  <c r="AR89" i="15"/>
  <c r="AQ89" i="15"/>
  <c r="AP89" i="15"/>
  <c r="AO89" i="15"/>
  <c r="AN89" i="15"/>
  <c r="AM89" i="15"/>
  <c r="AL89" i="15"/>
  <c r="AS88" i="15"/>
  <c r="AR88" i="15"/>
  <c r="AQ88" i="15"/>
  <c r="AP88" i="15"/>
  <c r="AO88" i="15"/>
  <c r="AN88" i="15"/>
  <c r="AM88" i="15"/>
  <c r="AL88" i="15"/>
  <c r="AS87" i="15"/>
  <c r="AR87" i="15"/>
  <c r="AQ87" i="15"/>
  <c r="AP87" i="15"/>
  <c r="AO87" i="15"/>
  <c r="AN87" i="15"/>
  <c r="AM87" i="15"/>
  <c r="AL87" i="15"/>
  <c r="AS86" i="15"/>
  <c r="AR86" i="15"/>
  <c r="AQ86" i="15"/>
  <c r="AP86" i="15"/>
  <c r="AO86" i="15"/>
  <c r="AN86" i="15"/>
  <c r="AM86" i="15"/>
  <c r="AL86" i="15"/>
  <c r="AS85" i="15"/>
  <c r="AR85" i="15"/>
  <c r="AQ85" i="15"/>
  <c r="AP85" i="15"/>
  <c r="AO85" i="15"/>
  <c r="AN85" i="15"/>
  <c r="AM85" i="15"/>
  <c r="AL85" i="15"/>
  <c r="AS84" i="15"/>
  <c r="AR84" i="15"/>
  <c r="AQ84" i="15"/>
  <c r="AP84" i="15"/>
  <c r="AO84" i="15"/>
  <c r="AN84" i="15"/>
  <c r="AM84" i="15"/>
  <c r="AL84" i="15"/>
  <c r="AS83" i="15"/>
  <c r="AR83" i="15"/>
  <c r="AQ83" i="15"/>
  <c r="AP83" i="15"/>
  <c r="AO83" i="15"/>
  <c r="AN83" i="15"/>
  <c r="AM83" i="15"/>
  <c r="AL83" i="15"/>
  <c r="AS82" i="15"/>
  <c r="AR82" i="15"/>
  <c r="AQ82" i="15"/>
  <c r="AP82" i="15"/>
  <c r="AO82" i="15"/>
  <c r="AN82" i="15"/>
  <c r="AM82" i="15"/>
  <c r="AL82" i="15"/>
  <c r="AS81" i="15"/>
  <c r="AR81" i="15"/>
  <c r="AQ81" i="15"/>
  <c r="AP81" i="15"/>
  <c r="AO81" i="15"/>
  <c r="AN81" i="15"/>
  <c r="AN94" i="15" s="1"/>
  <c r="AM81" i="15"/>
  <c r="AL81" i="15"/>
  <c r="AS80" i="15"/>
  <c r="AR80" i="15"/>
  <c r="AQ80" i="15"/>
  <c r="AP80" i="15"/>
  <c r="AO80" i="15"/>
  <c r="AN80" i="15"/>
  <c r="AM80" i="15"/>
  <c r="AL80" i="15"/>
  <c r="AS79" i="15"/>
  <c r="AR79" i="15"/>
  <c r="AQ79" i="15"/>
  <c r="AP79" i="15"/>
  <c r="AO79" i="15"/>
  <c r="AN79" i="15"/>
  <c r="AM79" i="15"/>
  <c r="AL79" i="15"/>
  <c r="AS78" i="15"/>
  <c r="AR78" i="15"/>
  <c r="AQ78" i="15"/>
  <c r="AP78" i="15"/>
  <c r="AO78" i="15"/>
  <c r="AN78" i="15"/>
  <c r="AM78" i="15"/>
  <c r="AL78" i="15"/>
  <c r="AS77" i="15"/>
  <c r="AR77" i="15"/>
  <c r="AQ77" i="15"/>
  <c r="AP77" i="15"/>
  <c r="AO77" i="15"/>
  <c r="AN77" i="15"/>
  <c r="AM77" i="15"/>
  <c r="AL77" i="15"/>
  <c r="AS76" i="15"/>
  <c r="AR76" i="15"/>
  <c r="AQ76" i="15"/>
  <c r="AP76" i="15"/>
  <c r="AO76" i="15"/>
  <c r="AN76" i="15"/>
  <c r="AM76" i="15"/>
  <c r="AL76" i="15"/>
  <c r="AS68" i="15"/>
  <c r="AR68" i="15"/>
  <c r="AQ68" i="15"/>
  <c r="AP68" i="15"/>
  <c r="AO68" i="15"/>
  <c r="AN68" i="15"/>
  <c r="AM68" i="15"/>
  <c r="AL68" i="15"/>
  <c r="AS67" i="15"/>
  <c r="AR67" i="15"/>
  <c r="AQ67" i="15"/>
  <c r="AP67" i="15"/>
  <c r="AO67" i="15"/>
  <c r="AN67" i="15"/>
  <c r="AM67" i="15"/>
  <c r="AL67" i="15"/>
  <c r="AS66" i="15"/>
  <c r="AR66" i="15"/>
  <c r="AQ66" i="15"/>
  <c r="AP66" i="15"/>
  <c r="AO66" i="15"/>
  <c r="AN66" i="15"/>
  <c r="AM66" i="15"/>
  <c r="AL66" i="15"/>
  <c r="AS65" i="15"/>
  <c r="AR65" i="15"/>
  <c r="AQ65" i="15"/>
  <c r="AP65" i="15"/>
  <c r="AO65" i="15"/>
  <c r="AN65" i="15"/>
  <c r="AM65" i="15"/>
  <c r="AL65" i="15"/>
  <c r="AS64" i="15"/>
  <c r="AR64" i="15"/>
  <c r="AQ64" i="15"/>
  <c r="AP64" i="15"/>
  <c r="AO64" i="15"/>
  <c r="AN64" i="15"/>
  <c r="AM64" i="15"/>
  <c r="AL64" i="15"/>
  <c r="AS63" i="15"/>
  <c r="AR63" i="15"/>
  <c r="AQ63" i="15"/>
  <c r="AP63" i="15"/>
  <c r="AO63" i="15"/>
  <c r="AN63" i="15"/>
  <c r="AM63" i="15"/>
  <c r="AL63" i="15"/>
  <c r="AS62" i="15"/>
  <c r="AR62" i="15"/>
  <c r="AQ62" i="15"/>
  <c r="AP62" i="15"/>
  <c r="AO62" i="15"/>
  <c r="AN62" i="15"/>
  <c r="AM62" i="15"/>
  <c r="AL62" i="15"/>
  <c r="AS61" i="15"/>
  <c r="AR61" i="15"/>
  <c r="AQ61" i="15"/>
  <c r="AP61" i="15"/>
  <c r="AO61" i="15"/>
  <c r="AN61" i="15"/>
  <c r="AM61" i="15"/>
  <c r="AL61" i="15"/>
  <c r="AS60" i="15"/>
  <c r="AR60" i="15"/>
  <c r="AQ60" i="15"/>
  <c r="AP60" i="15"/>
  <c r="AO60" i="15"/>
  <c r="AN60" i="15"/>
  <c r="AM60" i="15"/>
  <c r="AL60" i="15"/>
  <c r="AS59" i="15"/>
  <c r="AR59" i="15"/>
  <c r="AQ59" i="15"/>
  <c r="AP59" i="15"/>
  <c r="AO59" i="15"/>
  <c r="AN59" i="15"/>
  <c r="AM59" i="15"/>
  <c r="AL59" i="15"/>
  <c r="AS58" i="15"/>
  <c r="AR58" i="15"/>
  <c r="AQ58" i="15"/>
  <c r="AP58" i="15"/>
  <c r="AO58" i="15"/>
  <c r="AN58" i="15"/>
  <c r="AM58" i="15"/>
  <c r="AL58" i="15"/>
  <c r="AS57" i="15"/>
  <c r="AS70" i="15" s="1"/>
  <c r="AR57" i="15"/>
  <c r="AR70" i="15" s="1"/>
  <c r="AQ57" i="15"/>
  <c r="AP57" i="15"/>
  <c r="AO57" i="15"/>
  <c r="AN57" i="15"/>
  <c r="AM57" i="15"/>
  <c r="AL57" i="15"/>
  <c r="AS56" i="15"/>
  <c r="AR56" i="15"/>
  <c r="AQ56" i="15"/>
  <c r="AP56" i="15"/>
  <c r="AO56" i="15"/>
  <c r="AN56" i="15"/>
  <c r="AM56" i="15"/>
  <c r="AL56" i="15"/>
  <c r="AS55" i="15"/>
  <c r="AR55" i="15"/>
  <c r="AQ55" i="15"/>
  <c r="AP55" i="15"/>
  <c r="AO55" i="15"/>
  <c r="AN55" i="15"/>
  <c r="AM55" i="15"/>
  <c r="AL55" i="15"/>
  <c r="AS54" i="15"/>
  <c r="AR54" i="15"/>
  <c r="AQ54" i="15"/>
  <c r="AP54" i="15"/>
  <c r="AO54" i="15"/>
  <c r="AN54" i="15"/>
  <c r="AM54" i="15"/>
  <c r="AL54" i="15"/>
  <c r="AS53" i="15"/>
  <c r="AR53" i="15"/>
  <c r="AQ53" i="15"/>
  <c r="AP53" i="15"/>
  <c r="AO53" i="15"/>
  <c r="AN53" i="15"/>
  <c r="AM53" i="15"/>
  <c r="AL53" i="15"/>
  <c r="AS52" i="15"/>
  <c r="AR52" i="15"/>
  <c r="AQ52" i="15"/>
  <c r="AP52" i="15"/>
  <c r="AO52" i="15"/>
  <c r="AN52" i="15"/>
  <c r="AM52" i="15"/>
  <c r="AL52" i="15"/>
  <c r="AS28" i="15"/>
  <c r="AR28" i="15"/>
  <c r="AQ28" i="15"/>
  <c r="AP28" i="15"/>
  <c r="AO28" i="15"/>
  <c r="AN28" i="15"/>
  <c r="AM28" i="15"/>
  <c r="AL28" i="15"/>
  <c r="AS44" i="15"/>
  <c r="AR44" i="15"/>
  <c r="AQ44" i="15"/>
  <c r="AP44" i="15"/>
  <c r="AO44" i="15"/>
  <c r="AN44" i="15"/>
  <c r="AM44" i="15"/>
  <c r="AL44" i="15"/>
  <c r="AS43" i="15"/>
  <c r="AR43" i="15"/>
  <c r="AQ43" i="15"/>
  <c r="AP43" i="15"/>
  <c r="AO43" i="15"/>
  <c r="AN43" i="15"/>
  <c r="AM43" i="15"/>
  <c r="AL43" i="15"/>
  <c r="AS42" i="15"/>
  <c r="AR42" i="15"/>
  <c r="AQ42" i="15"/>
  <c r="AP42" i="15"/>
  <c r="AO42" i="15"/>
  <c r="AN42" i="15"/>
  <c r="AM42" i="15"/>
  <c r="AL42" i="15"/>
  <c r="AS41" i="15"/>
  <c r="AR41" i="15"/>
  <c r="AQ41" i="15"/>
  <c r="AP41" i="15"/>
  <c r="AO41" i="15"/>
  <c r="AO48" i="15" s="1"/>
  <c r="AN41" i="15"/>
  <c r="AN48" i="15" s="1"/>
  <c r="AM41" i="15"/>
  <c r="AM48" i="15" s="1"/>
  <c r="AL41" i="15"/>
  <c r="AL48" i="15" s="1"/>
  <c r="AS40" i="15"/>
  <c r="AR40" i="15"/>
  <c r="AQ40" i="15"/>
  <c r="AP40" i="15"/>
  <c r="AO40" i="15"/>
  <c r="AN40" i="15"/>
  <c r="AM40" i="15"/>
  <c r="AL40" i="15"/>
  <c r="AS39" i="15"/>
  <c r="AR39" i="15"/>
  <c r="AQ39" i="15"/>
  <c r="AP39" i="15"/>
  <c r="AO39" i="15"/>
  <c r="AN39" i="15"/>
  <c r="AM39" i="15"/>
  <c r="AL39" i="15"/>
  <c r="AS38" i="15"/>
  <c r="AR38" i="15"/>
  <c r="AQ38" i="15"/>
  <c r="AP38" i="15"/>
  <c r="AO38" i="15"/>
  <c r="AN38" i="15"/>
  <c r="AM38" i="15"/>
  <c r="AL38" i="15"/>
  <c r="AS37" i="15"/>
  <c r="AR37" i="15"/>
  <c r="AQ37" i="15"/>
  <c r="AP37" i="15"/>
  <c r="AO37" i="15"/>
  <c r="AN37" i="15"/>
  <c r="AM37" i="15"/>
  <c r="AL37" i="15"/>
  <c r="AS36" i="15"/>
  <c r="AR36" i="15"/>
  <c r="AQ36" i="15"/>
  <c r="AP36" i="15"/>
  <c r="AO36" i="15"/>
  <c r="AN36" i="15"/>
  <c r="AM36" i="15"/>
  <c r="AL36" i="15"/>
  <c r="AS35" i="15"/>
  <c r="AR35" i="15"/>
  <c r="AQ35" i="15"/>
  <c r="AP35" i="15"/>
  <c r="AO35" i="15"/>
  <c r="AN35" i="15"/>
  <c r="AM35" i="15"/>
  <c r="AL35" i="15"/>
  <c r="AS34" i="15"/>
  <c r="AR34" i="15"/>
  <c r="AQ34" i="15"/>
  <c r="AP34" i="15"/>
  <c r="AO34" i="15"/>
  <c r="AN34" i="15"/>
  <c r="AM34" i="15"/>
  <c r="AL34" i="15"/>
  <c r="AS33" i="15"/>
  <c r="AR33" i="15"/>
  <c r="AQ33" i="15"/>
  <c r="AP33" i="15"/>
  <c r="AO33" i="15"/>
  <c r="AN33" i="15"/>
  <c r="AM33" i="15"/>
  <c r="AM46" i="15" s="1"/>
  <c r="AL33" i="15"/>
  <c r="AL46" i="15" s="1"/>
  <c r="AS32" i="15"/>
  <c r="AR32" i="15"/>
  <c r="AQ32" i="15"/>
  <c r="AP32" i="15"/>
  <c r="AO32" i="15"/>
  <c r="AN32" i="15"/>
  <c r="AM32" i="15"/>
  <c r="AL32" i="15"/>
  <c r="AS31" i="15"/>
  <c r="AR31" i="15"/>
  <c r="AQ31" i="15"/>
  <c r="AP31" i="15"/>
  <c r="AO31" i="15"/>
  <c r="AN31" i="15"/>
  <c r="AM31" i="15"/>
  <c r="AL31" i="15"/>
  <c r="AS30" i="15"/>
  <c r="AR30" i="15"/>
  <c r="AQ30" i="15"/>
  <c r="AP30" i="15"/>
  <c r="AO30" i="15"/>
  <c r="AN30" i="15"/>
  <c r="AM30" i="15"/>
  <c r="AL30" i="15"/>
  <c r="AS29" i="15"/>
  <c r="AS45" i="15" s="1"/>
  <c r="AR29" i="15"/>
  <c r="AR45" i="15" s="1"/>
  <c r="AQ29" i="15"/>
  <c r="AP29" i="15"/>
  <c r="AO29" i="15"/>
  <c r="AN29" i="15"/>
  <c r="AM29" i="15"/>
  <c r="AL29" i="15"/>
  <c r="AU26" i="15" a="1"/>
  <c r="AT26" i="15" a="1"/>
  <c r="AM4" i="15"/>
  <c r="AN4" i="15"/>
  <c r="AO4" i="15"/>
  <c r="AP4" i="15"/>
  <c r="AQ4" i="15"/>
  <c r="AR4" i="15"/>
  <c r="AS4" i="15"/>
  <c r="AL4" i="15"/>
  <c r="AL5" i="15"/>
  <c r="AM5" i="15"/>
  <c r="AM21" i="15" s="1"/>
  <c r="AN5" i="15"/>
  <c r="AO5" i="15"/>
  <c r="AP5" i="15"/>
  <c r="AQ5" i="15"/>
  <c r="AR5" i="15"/>
  <c r="AS5" i="15"/>
  <c r="AM6" i="15"/>
  <c r="AN6" i="15"/>
  <c r="AO6" i="15"/>
  <c r="AP6" i="15"/>
  <c r="AQ6" i="15"/>
  <c r="AR6" i="15"/>
  <c r="AS6" i="15"/>
  <c r="AM7" i="15"/>
  <c r="AN7" i="15"/>
  <c r="AO7" i="15"/>
  <c r="AP7" i="15"/>
  <c r="AQ7" i="15"/>
  <c r="AR7" i="15"/>
  <c r="AS7" i="15"/>
  <c r="AM8" i="15"/>
  <c r="AN8" i="15"/>
  <c r="AO8" i="15"/>
  <c r="AP8" i="15"/>
  <c r="AQ8" i="15"/>
  <c r="AR8" i="15"/>
  <c r="AS8" i="15"/>
  <c r="AM9" i="15"/>
  <c r="AN9" i="15"/>
  <c r="AO9" i="15"/>
  <c r="AP9" i="15"/>
  <c r="AQ9" i="15"/>
  <c r="AR9" i="15"/>
  <c r="AS9" i="15"/>
  <c r="AM10" i="15"/>
  <c r="AN10" i="15"/>
  <c r="AO10" i="15"/>
  <c r="AP10" i="15"/>
  <c r="AQ10" i="15"/>
  <c r="AR10" i="15"/>
  <c r="AS10" i="15"/>
  <c r="AM11" i="15"/>
  <c r="AN11" i="15"/>
  <c r="AO11" i="15"/>
  <c r="AP11" i="15"/>
  <c r="AQ11" i="15"/>
  <c r="AR11" i="15"/>
  <c r="AS11" i="15"/>
  <c r="AM12" i="15"/>
  <c r="AN12" i="15"/>
  <c r="AO12" i="15"/>
  <c r="AP12" i="15"/>
  <c r="AQ12" i="15"/>
  <c r="AR12" i="15"/>
  <c r="AS12" i="15"/>
  <c r="AM13" i="15"/>
  <c r="AN13" i="15"/>
  <c r="AO13" i="15"/>
  <c r="AP13" i="15"/>
  <c r="AQ13" i="15"/>
  <c r="AR13" i="15"/>
  <c r="AS13" i="15"/>
  <c r="AM14" i="15"/>
  <c r="AN14" i="15"/>
  <c r="AO14" i="15"/>
  <c r="AP14" i="15"/>
  <c r="AQ14" i="15"/>
  <c r="AR14" i="15"/>
  <c r="AS14" i="15"/>
  <c r="AM15" i="15"/>
  <c r="AN15" i="15"/>
  <c r="AO15" i="15"/>
  <c r="AP15" i="15"/>
  <c r="AQ15" i="15"/>
  <c r="AR15" i="15"/>
  <c r="AS15" i="15"/>
  <c r="AM16" i="15"/>
  <c r="AN16" i="15"/>
  <c r="AO16" i="15"/>
  <c r="AP16" i="15"/>
  <c r="AQ16" i="15"/>
  <c r="AR16" i="15"/>
  <c r="AS16" i="15"/>
  <c r="AM17" i="15"/>
  <c r="AN17" i="15"/>
  <c r="AO17" i="15"/>
  <c r="AP17" i="15"/>
  <c r="AQ17" i="15"/>
  <c r="AR17" i="15"/>
  <c r="AS17" i="15"/>
  <c r="AM18" i="15"/>
  <c r="AN18" i="15"/>
  <c r="AO18" i="15"/>
  <c r="AP18" i="15"/>
  <c r="AQ18" i="15"/>
  <c r="AR18" i="15"/>
  <c r="AS18" i="15"/>
  <c r="AM19" i="15"/>
  <c r="AN19" i="15"/>
  <c r="AO19" i="15"/>
  <c r="AP19" i="15"/>
  <c r="AQ19" i="15"/>
  <c r="AR19" i="15"/>
  <c r="AS19" i="15"/>
  <c r="AM20" i="15"/>
  <c r="AN20" i="15"/>
  <c r="AO20" i="15"/>
  <c r="AP20" i="15"/>
  <c r="AQ20" i="15"/>
  <c r="AR20" i="15"/>
  <c r="AS20" i="15"/>
  <c r="AL6" i="15"/>
  <c r="AL7" i="15"/>
  <c r="AL8" i="15"/>
  <c r="AL9" i="15"/>
  <c r="AL10" i="15"/>
  <c r="AL11" i="15"/>
  <c r="AL12" i="15"/>
  <c r="AL13" i="15"/>
  <c r="AL14" i="15"/>
  <c r="AL15" i="15"/>
  <c r="AL16" i="15"/>
  <c r="AL17" i="15"/>
  <c r="AL18" i="15"/>
  <c r="AL19" i="15"/>
  <c r="AL20" i="15"/>
  <c r="AD84" i="15" a="1"/>
  <c r="AE84" i="15" s="1"/>
  <c r="AD83" i="15" a="1"/>
  <c r="AE83" i="15" s="1"/>
  <c r="AD82" i="15" a="1"/>
  <c r="AE82" i="15" s="1"/>
  <c r="AD81" i="15" a="1"/>
  <c r="AE81" i="15" s="1"/>
  <c r="AC69" i="15"/>
  <c r="AC93" i="15" s="1"/>
  <c r="AD60" i="15" a="1"/>
  <c r="AD60" i="15" s="1"/>
  <c r="AD59" i="15" a="1"/>
  <c r="AD59" i="15" s="1"/>
  <c r="AD58" i="15" a="1"/>
  <c r="AD58" i="15" s="1"/>
  <c r="AD57" i="15" a="1"/>
  <c r="AD57" i="15" s="1"/>
  <c r="AD36" i="15" a="1"/>
  <c r="AE36" i="15" s="1"/>
  <c r="AD35" i="15" a="1"/>
  <c r="AE35" i="15" s="1"/>
  <c r="AD34" i="15" a="1"/>
  <c r="AE34" i="15" s="1"/>
  <c r="AD33" i="15" a="1"/>
  <c r="AD33" i="15" s="1"/>
  <c r="AD12" i="15" a="1"/>
  <c r="AE12" i="15" s="1"/>
  <c r="AD11" i="15" a="1"/>
  <c r="AE11" i="15" s="1"/>
  <c r="AD10" i="15" a="1"/>
  <c r="AD10" i="15" s="1"/>
  <c r="AD9" i="15" a="1"/>
  <c r="AD9" i="15" s="1"/>
  <c r="AM119" i="15" l="1"/>
  <c r="AN119" i="15"/>
  <c r="AM117" i="15"/>
  <c r="AP119" i="15"/>
  <c r="AQ119" i="15"/>
  <c r="AS119" i="15"/>
  <c r="AO119" i="15"/>
  <c r="AN117" i="15"/>
  <c r="AS117" i="15"/>
  <c r="AN95" i="15"/>
  <c r="AS93" i="15"/>
  <c r="AL96" i="15"/>
  <c r="AL95" i="15"/>
  <c r="AM93" i="15"/>
  <c r="AM96" i="15"/>
  <c r="AM95" i="15"/>
  <c r="AP94" i="15"/>
  <c r="AN93" i="15"/>
  <c r="AL93" i="15"/>
  <c r="AM94" i="15"/>
  <c r="AR71" i="15"/>
  <c r="AM70" i="15"/>
  <c r="AM69" i="15"/>
  <c r="AN69" i="15"/>
  <c r="AO69" i="15"/>
  <c r="AP69" i="15"/>
  <c r="AQ69" i="15"/>
  <c r="AR69" i="15"/>
  <c r="AS69" i="15"/>
  <c r="AL72" i="15"/>
  <c r="AM72" i="15"/>
  <c r="AN72" i="15"/>
  <c r="AP72" i="15"/>
  <c r="AO70" i="15"/>
  <c r="AQ72" i="15"/>
  <c r="AL69" i="15"/>
  <c r="AQ71" i="15"/>
  <c r="AS71" i="15"/>
  <c r="AO72" i="15"/>
  <c r="AN70" i="15"/>
  <c r="AP70" i="15"/>
  <c r="AR72" i="15"/>
  <c r="AL70" i="15"/>
  <c r="AQ70" i="15"/>
  <c r="AR48" i="15"/>
  <c r="AO47" i="15"/>
  <c r="AO46" i="15"/>
  <c r="AS46" i="15"/>
  <c r="AL45" i="15"/>
  <c r="AN47" i="15"/>
  <c r="AM45" i="15"/>
  <c r="AN45" i="15"/>
  <c r="AP47" i="15"/>
  <c r="AP48" i="15"/>
  <c r="AQ48" i="15"/>
  <c r="AM47" i="15"/>
  <c r="AO45" i="15"/>
  <c r="AQ47" i="15"/>
  <c r="AP46" i="15"/>
  <c r="AQ46" i="15"/>
  <c r="AR46" i="15"/>
  <c r="AP45" i="15"/>
  <c r="AR47" i="15"/>
  <c r="AN46" i="15"/>
  <c r="AL47" i="15"/>
  <c r="AQ45" i="15"/>
  <c r="AS47" i="15"/>
  <c r="AO24" i="15"/>
  <c r="AM22" i="15"/>
  <c r="AO23" i="15"/>
  <c r="AN120" i="15"/>
  <c r="AN118" i="15"/>
  <c r="AR94" i="15"/>
  <c r="AQ94" i="15"/>
  <c r="AL94" i="15"/>
  <c r="AT45" i="15" a="1"/>
  <c r="AS120" i="15"/>
  <c r="AL117" i="15"/>
  <c r="AS118" i="15"/>
  <c r="AO120" i="15"/>
  <c r="AM118" i="15"/>
  <c r="AQ120" i="15"/>
  <c r="AM120" i="15"/>
  <c r="AR119" i="15"/>
  <c r="AL119" i="15"/>
  <c r="AR95" i="15"/>
  <c r="AS94" i="15"/>
  <c r="AS95" i="15"/>
  <c r="AO93" i="15"/>
  <c r="AO94" i="15"/>
  <c r="AO95" i="15"/>
  <c r="AO96" i="15"/>
  <c r="AP93" i="15"/>
  <c r="AP95" i="15"/>
  <c r="AP96" i="15"/>
  <c r="AQ93" i="15"/>
  <c r="AQ95" i="15"/>
  <c r="AQ96" i="15"/>
  <c r="AR93" i="15"/>
  <c r="AR96" i="15"/>
  <c r="AT45" i="15"/>
  <c r="AU45" i="15" s="1"/>
  <c r="AO21" i="15"/>
  <c r="AN21" i="15"/>
  <c r="AO22" i="15"/>
  <c r="AN22" i="15"/>
  <c r="AE108" i="15"/>
  <c r="AE107" i="15"/>
  <c r="AE106" i="15"/>
  <c r="AE105" i="15"/>
  <c r="AO118" i="15"/>
  <c r="AQ118" i="15"/>
  <c r="AR118" i="15"/>
  <c r="AQ117" i="15"/>
  <c r="AL120" i="15"/>
  <c r="AR120" i="15"/>
  <c r="AL118" i="15"/>
  <c r="AR117" i="15"/>
  <c r="AP118" i="15"/>
  <c r="AO117" i="15"/>
  <c r="AP117" i="15"/>
  <c r="AP120" i="15"/>
  <c r="AT119" i="15" a="1"/>
  <c r="AT118" i="15" a="1"/>
  <c r="AT117" i="15" a="1"/>
  <c r="AT120" i="15" a="1"/>
  <c r="AT95" i="15" a="1"/>
  <c r="AT96" i="15" a="1"/>
  <c r="AT93" i="15" a="1"/>
  <c r="AT94" i="15" a="1"/>
  <c r="AT69" i="15" a="1"/>
  <c r="AT70" i="15" a="1"/>
  <c r="AT72" i="15" a="1"/>
  <c r="AT48" i="15" a="1"/>
  <c r="AT46" i="15" a="1"/>
  <c r="AT47" i="15" a="1"/>
  <c r="AL21" i="15"/>
  <c r="AR22" i="15"/>
  <c r="AP22" i="15"/>
  <c r="AS21" i="15"/>
  <c r="AR23" i="15"/>
  <c r="AS22" i="15"/>
  <c r="AQ22" i="15"/>
  <c r="AQ23" i="15"/>
  <c r="AP23" i="15"/>
  <c r="AR21" i="15"/>
  <c r="AQ21" i="15"/>
  <c r="AL22" i="15"/>
  <c r="AP21" i="15"/>
  <c r="AS23" i="15"/>
  <c r="AS24" i="15"/>
  <c r="AR24" i="15"/>
  <c r="AQ24" i="15"/>
  <c r="AP24" i="15"/>
  <c r="AD83" i="15"/>
  <c r="AD84" i="15"/>
  <c r="AD81" i="15"/>
  <c r="AD82" i="15"/>
  <c r="AD12" i="15"/>
  <c r="AE33" i="15"/>
  <c r="AE60" i="15"/>
  <c r="AE59" i="15"/>
  <c r="AE58" i="15"/>
  <c r="AE57" i="15"/>
  <c r="AD35" i="15"/>
  <c r="AD36" i="15"/>
  <c r="AD34" i="15"/>
  <c r="AD11" i="15"/>
  <c r="AE10" i="15"/>
  <c r="AE9" i="15"/>
  <c r="AT47" i="15" l="1"/>
  <c r="AU47" i="15" s="1"/>
  <c r="AT70" i="15"/>
  <c r="AU70" i="15" s="1"/>
  <c r="AT94" i="15"/>
  <c r="AU94" i="15" s="1"/>
  <c r="AT69" i="15"/>
  <c r="AU69" i="15" s="1"/>
  <c r="AT72" i="15"/>
  <c r="AU72" i="15" s="1"/>
  <c r="AU71" i="15"/>
  <c r="AT96" i="15"/>
  <c r="AU96" i="15" s="1"/>
  <c r="AT93" i="15"/>
  <c r="AU93" i="15" s="1"/>
  <c r="AT95" i="15"/>
  <c r="AU95" i="15" s="1"/>
  <c r="AT46" i="15"/>
  <c r="AU46" i="15" s="1"/>
  <c r="AT48" i="15"/>
  <c r="AU48" i="15" s="1"/>
  <c r="AT118" i="15"/>
  <c r="AU118" i="15" s="1"/>
  <c r="AT119" i="15"/>
  <c r="AU119" i="15" s="1"/>
  <c r="AT117" i="15"/>
  <c r="AU117" i="15" s="1"/>
  <c r="AT120" i="15"/>
  <c r="AU120" i="15" s="1"/>
  <c r="AU122" i="15" a="1"/>
  <c r="AT122" i="15" a="1"/>
  <c r="AU98" i="15" a="1"/>
  <c r="AT98" i="15" a="1"/>
  <c r="AU74" i="15" a="1"/>
  <c r="AT74" i="15" a="1"/>
  <c r="AU50" i="15" a="1"/>
  <c r="AT50" i="15" a="1"/>
  <c r="AT21" i="15" a="1"/>
  <c r="AT21" i="15" s="1"/>
  <c r="AU21" i="15" s="1"/>
  <c r="AT23" i="15" a="1"/>
  <c r="AT23" i="15" s="1"/>
  <c r="AU23" i="15" s="1"/>
  <c r="AT24" i="15" a="1"/>
  <c r="AT24" i="15" s="1"/>
  <c r="AU24" i="15" s="1"/>
  <c r="AT22" i="15" a="1"/>
  <c r="AT22" i="15" s="1"/>
  <c r="AU22" i="15" s="1"/>
  <c r="E78" i="13" l="1"/>
  <c r="D78" i="13"/>
  <c r="E80" i="13"/>
  <c r="D80" i="13"/>
  <c r="E79" i="13"/>
  <c r="E77" i="13"/>
  <c r="D79" i="13"/>
  <c r="D77" i="13"/>
  <c r="I21" i="13"/>
  <c r="I20" i="13"/>
  <c r="I25" i="11"/>
  <c r="I24" i="11"/>
  <c r="J33" i="11" l="1"/>
  <c r="N132" i="11" s="1"/>
  <c r="AC21" i="15"/>
  <c r="AC117" i="15" s="1"/>
  <c r="AC45" i="15" l="1"/>
  <c r="J12" i="13" a="1"/>
  <c r="J12" i="13" s="1"/>
  <c r="J11" i="13" a="1"/>
  <c r="J11" i="13" s="1"/>
  <c r="K12" i="13" l="1"/>
  <c r="K42" i="13" s="1"/>
  <c r="L12" i="13"/>
  <c r="L42" i="13" s="1"/>
  <c r="L11" i="13"/>
  <c r="L41" i="13" s="1"/>
  <c r="K11" i="13"/>
  <c r="K41" i="13" s="1"/>
  <c r="J88" i="13" l="1"/>
  <c r="J87" i="13"/>
  <c r="N76" i="13"/>
  <c r="N73" i="13"/>
  <c r="N69" i="13"/>
  <c r="I69" i="13"/>
  <c r="N68" i="13"/>
  <c r="I68" i="13"/>
  <c r="N67" i="13"/>
  <c r="I67" i="13"/>
  <c r="O62" i="13"/>
  <c r="O68" i="13" s="1"/>
  <c r="J62" i="13"/>
  <c r="J69" i="13" s="1"/>
  <c r="J26" i="13"/>
  <c r="J43" i="13" s="1"/>
  <c r="J10" i="13" a="1"/>
  <c r="L10" i="13" s="1"/>
  <c r="L40" i="13" s="1"/>
  <c r="J9" i="13" a="1"/>
  <c r="L9" i="13" s="1"/>
  <c r="L39" i="13" s="1"/>
  <c r="N43" i="13" l="1"/>
  <c r="M43" i="13"/>
  <c r="O69" i="13"/>
  <c r="J42" i="13"/>
  <c r="J41" i="13"/>
  <c r="J68" i="13"/>
  <c r="J66" i="13"/>
  <c r="J10" i="13"/>
  <c r="J40" i="13" s="1"/>
  <c r="K10" i="13"/>
  <c r="K40" i="13" s="1"/>
  <c r="O66" i="13"/>
  <c r="J67" i="13"/>
  <c r="N77" i="13"/>
  <c r="N78" i="13"/>
  <c r="O67" i="13"/>
  <c r="K9" i="13"/>
  <c r="K39" i="13" s="1"/>
  <c r="J9" i="13"/>
  <c r="J39" i="13" s="1"/>
  <c r="O43" i="13" l="1"/>
  <c r="N41" i="13"/>
  <c r="M41" i="13"/>
  <c r="M42" i="13"/>
  <c r="N42" i="13"/>
  <c r="N39" i="13"/>
  <c r="M39" i="13"/>
  <c r="M40" i="13"/>
  <c r="N40" i="13"/>
  <c r="P43" i="13" l="1"/>
  <c r="N101" i="13" s="1"/>
  <c r="O101" i="13" s="1"/>
  <c r="N75" i="13"/>
  <c r="O39" i="13"/>
  <c r="O42" i="13"/>
  <c r="O41" i="13"/>
  <c r="O40" i="13"/>
  <c r="N85" i="11"/>
  <c r="N84" i="11" s="1"/>
  <c r="I85" i="11"/>
  <c r="O78" i="11"/>
  <c r="N131" i="11"/>
  <c r="N128" i="11"/>
  <c r="J30" i="11"/>
  <c r="L7" i="3"/>
  <c r="J7" i="3"/>
  <c r="J48" i="11" l="1"/>
  <c r="J49" i="11"/>
  <c r="N133" i="11"/>
  <c r="P50" i="11"/>
  <c r="N83" i="11"/>
  <c r="O83" i="11" s="1"/>
  <c r="I83" i="11"/>
  <c r="J83" i="11" s="1"/>
  <c r="J85" i="11"/>
  <c r="N74" i="13"/>
  <c r="N79" i="13" s="1"/>
  <c r="D128" i="13"/>
  <c r="AH58" i="15"/>
  <c r="J54" i="13" a="1"/>
  <c r="P41" i="13"/>
  <c r="N99" i="13" s="1"/>
  <c r="O99" i="13" s="1"/>
  <c r="P42" i="13"/>
  <c r="N100" i="13" s="1"/>
  <c r="O100" i="13" s="1"/>
  <c r="P39" i="13"/>
  <c r="N53" i="13"/>
  <c r="P40" i="13"/>
  <c r="N98" i="13" s="1"/>
  <c r="J55" i="13" a="1"/>
  <c r="I84" i="11"/>
  <c r="J84" i="11" s="1"/>
  <c r="O82" i="11"/>
  <c r="O85" i="11"/>
  <c r="O84" i="11"/>
  <c r="J47" i="11"/>
  <c r="L47" i="11"/>
  <c r="K47" i="11"/>
  <c r="M48" i="11" l="1"/>
  <c r="N48" i="11"/>
  <c r="N49" i="11"/>
  <c r="M49" i="11"/>
  <c r="AL11" i="11"/>
  <c r="AL7" i="11"/>
  <c r="AL9" i="11"/>
  <c r="AL10" i="11"/>
  <c r="AL8" i="11"/>
  <c r="N47" i="11"/>
  <c r="N97" i="13"/>
  <c r="O97" i="13" s="1"/>
  <c r="E128" i="13"/>
  <c r="G128" i="13"/>
  <c r="G129" i="13" s="1"/>
  <c r="AG82" i="15"/>
  <c r="J54" i="13"/>
  <c r="K54" i="13"/>
  <c r="O98" i="13"/>
  <c r="K107" i="13" s="1" a="1"/>
  <c r="K55" i="13"/>
  <c r="J55" i="13"/>
  <c r="M47" i="11"/>
  <c r="O49" i="11" l="1"/>
  <c r="O48" i="11"/>
  <c r="O47" i="11"/>
  <c r="J69" i="11" s="1"/>
  <c r="K108" i="13" a="1"/>
  <c r="K108" i="13" s="1"/>
  <c r="K114" i="13" a="1"/>
  <c r="L114" i="13" s="1"/>
  <c r="AH82" i="15"/>
  <c r="K107" i="13"/>
  <c r="N107" i="13"/>
  <c r="M107" i="13"/>
  <c r="L107" i="13"/>
  <c r="K115" i="13" a="1"/>
  <c r="N55" i="13"/>
  <c r="N56" i="13" s="1"/>
  <c r="P48" i="11" l="1"/>
  <c r="M98" i="11" s="1"/>
  <c r="N98" i="11" s="1"/>
  <c r="J70" i="11"/>
  <c r="P49" i="11"/>
  <c r="M99" i="11" s="1"/>
  <c r="N99" i="11" s="1"/>
  <c r="J71" i="11"/>
  <c r="AG12" i="15"/>
  <c r="AG36" i="15" s="1"/>
  <c r="AH36" i="15" s="1"/>
  <c r="P47" i="11"/>
  <c r="M97" i="11" s="1"/>
  <c r="N97" i="11" s="1"/>
  <c r="AG11" i="15"/>
  <c r="AG35" i="15" s="1"/>
  <c r="AH35" i="15" s="1"/>
  <c r="L108" i="13"/>
  <c r="M114" i="13"/>
  <c r="K114" i="13"/>
  <c r="K115" i="13"/>
  <c r="L115" i="13"/>
  <c r="AW70" i="15"/>
  <c r="AW71" i="15"/>
  <c r="AW72" i="15"/>
  <c r="AW69" i="15"/>
  <c r="N130" i="11"/>
  <c r="J89" i="13"/>
  <c r="AH11" i="15" l="1"/>
  <c r="AH12" i="15"/>
  <c r="O108" i="13"/>
  <c r="O115" i="13"/>
  <c r="AW73" i="15"/>
  <c r="AP73" i="15" s="1" a="1"/>
  <c r="AP73" i="15" s="1"/>
  <c r="O107" i="13"/>
  <c r="AL73" i="15" l="1" a="1"/>
  <c r="AL73" i="15" s="1"/>
  <c r="AO73" i="15" a="1"/>
  <c r="AO73" i="15" s="1"/>
  <c r="AN73" i="15" a="1"/>
  <c r="AN73" i="15" s="1"/>
  <c r="AS97" i="15" a="1"/>
  <c r="AS97" i="15" s="1"/>
  <c r="AS73" i="15" a="1"/>
  <c r="AS73" i="15" s="1"/>
  <c r="AM73" i="15" a="1"/>
  <c r="AM73" i="15" s="1"/>
  <c r="AL97" i="15" a="1"/>
  <c r="AL97" i="15" s="1"/>
  <c r="AR97" i="15" a="1"/>
  <c r="AR97" i="15" s="1"/>
  <c r="AQ97" i="15" a="1"/>
  <c r="AQ97" i="15" s="1"/>
  <c r="AP97" i="15" a="1"/>
  <c r="AP97" i="15" s="1"/>
  <c r="AO97" i="15" a="1"/>
  <c r="AO97" i="15" s="1"/>
  <c r="AR73" i="15" a="1"/>
  <c r="AR73" i="15" s="1"/>
  <c r="AN97" i="15" a="1"/>
  <c r="AN97" i="15" s="1"/>
  <c r="AQ73" i="15" a="1"/>
  <c r="AQ73" i="15" s="1"/>
  <c r="AM97" i="15" a="1"/>
  <c r="AM97" i="15" s="1"/>
  <c r="R29" i="5" l="1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28" i="5"/>
  <c r="C16" i="6"/>
  <c r="C15" i="6"/>
  <c r="C12" i="6"/>
  <c r="H13" i="6" s="1"/>
  <c r="C11" i="6"/>
  <c r="C7" i="6"/>
  <c r="C6" i="6"/>
  <c r="C5" i="6"/>
  <c r="M13" i="6" s="1"/>
  <c r="T23" i="5" s="1"/>
  <c r="C19" i="6"/>
  <c r="F3" i="6" s="1"/>
  <c r="G48" i="6"/>
  <c r="S58" i="5" s="1"/>
  <c r="C18" i="6" l="1"/>
  <c r="G40" i="6"/>
  <c r="S50" i="5" s="1"/>
  <c r="G39" i="6"/>
  <c r="S49" i="5" s="1"/>
  <c r="H15" i="6"/>
  <c r="H17" i="6"/>
  <c r="H21" i="6" s="1"/>
  <c r="C8" i="6"/>
  <c r="C22" i="6"/>
  <c r="G41" i="6"/>
  <c r="S51" i="5" s="1"/>
  <c r="C17" i="6"/>
  <c r="M7" i="6"/>
  <c r="T17" i="5" s="1"/>
  <c r="M11" i="6"/>
  <c r="T21" i="5" s="1"/>
  <c r="M16" i="6"/>
  <c r="T26" i="5" s="1"/>
  <c r="M47" i="6"/>
  <c r="T57" i="5" s="1"/>
  <c r="M3" i="6"/>
  <c r="M26" i="6"/>
  <c r="T36" i="5" s="1"/>
  <c r="M50" i="6"/>
  <c r="T60" i="5" s="1"/>
  <c r="M9" i="6"/>
  <c r="T19" i="5" s="1"/>
  <c r="G15" i="6"/>
  <c r="S25" i="5" s="1"/>
  <c r="G32" i="6"/>
  <c r="S42" i="5" s="1"/>
  <c r="M20" i="6"/>
  <c r="T30" i="5" s="1"/>
  <c r="M39" i="6"/>
  <c r="T49" i="5" s="1"/>
  <c r="G11" i="6"/>
  <c r="S21" i="5" s="1"/>
  <c r="G13" i="6"/>
  <c r="S23" i="5" s="1"/>
  <c r="H7" i="6"/>
  <c r="H9" i="6"/>
  <c r="H11" i="6"/>
  <c r="M14" i="6"/>
  <c r="T24" i="5" s="1"/>
  <c r="G24" i="6"/>
  <c r="S34" i="5" s="1"/>
  <c r="G37" i="6"/>
  <c r="S47" i="5" s="1"/>
  <c r="G45" i="6"/>
  <c r="S55" i="5" s="1"/>
  <c r="G9" i="6"/>
  <c r="S19" i="5" s="1"/>
  <c r="M45" i="6"/>
  <c r="M37" i="6"/>
  <c r="T47" i="5" s="1"/>
  <c r="M29" i="6"/>
  <c r="T39" i="5" s="1"/>
  <c r="M48" i="6"/>
  <c r="T58" i="5" s="1"/>
  <c r="M40" i="6"/>
  <c r="T50" i="5" s="1"/>
  <c r="M32" i="6"/>
  <c r="T42" i="5" s="1"/>
  <c r="M24" i="6"/>
  <c r="T34" i="5" s="1"/>
  <c r="M21" i="6"/>
  <c r="T31" i="5" s="1"/>
  <c r="M43" i="6"/>
  <c r="M35" i="6"/>
  <c r="M27" i="6"/>
  <c r="M19" i="6"/>
  <c r="M17" i="6"/>
  <c r="T27" i="5" s="1"/>
  <c r="M46" i="6"/>
  <c r="T56" i="5" s="1"/>
  <c r="M38" i="6"/>
  <c r="T48" i="5" s="1"/>
  <c r="M30" i="6"/>
  <c r="T40" i="5" s="1"/>
  <c r="M49" i="6"/>
  <c r="T59" i="5" s="1"/>
  <c r="M41" i="6"/>
  <c r="T51" i="5" s="1"/>
  <c r="M33" i="6"/>
  <c r="T43" i="5" s="1"/>
  <c r="M25" i="6"/>
  <c r="M22" i="6"/>
  <c r="T32" i="5" s="1"/>
  <c r="M44" i="6"/>
  <c r="T54" i="5" s="1"/>
  <c r="M36" i="6"/>
  <c r="T46" i="5" s="1"/>
  <c r="M28" i="6"/>
  <c r="M6" i="6"/>
  <c r="T16" i="5" s="1"/>
  <c r="M8" i="6"/>
  <c r="T18" i="5" s="1"/>
  <c r="M10" i="6"/>
  <c r="T20" i="5" s="1"/>
  <c r="M12" i="6"/>
  <c r="T22" i="5" s="1"/>
  <c r="M18" i="6"/>
  <c r="M31" i="6"/>
  <c r="H18" i="6"/>
  <c r="H16" i="6"/>
  <c r="G14" i="6"/>
  <c r="S24" i="5" s="1"/>
  <c r="G16" i="6"/>
  <c r="S26" i="5" s="1"/>
  <c r="M23" i="6"/>
  <c r="T33" i="5" s="1"/>
  <c r="G29" i="6"/>
  <c r="S39" i="5" s="1"/>
  <c r="M42" i="6"/>
  <c r="T52" i="5" s="1"/>
  <c r="G43" i="6"/>
  <c r="S53" i="5" s="1"/>
  <c r="G35" i="6"/>
  <c r="G27" i="6"/>
  <c r="S37" i="5" s="1"/>
  <c r="G19" i="6"/>
  <c r="S29" i="5" s="1"/>
  <c r="G17" i="6"/>
  <c r="S27" i="5" s="1"/>
  <c r="G46" i="6"/>
  <c r="S56" i="5" s="1"/>
  <c r="G38" i="6"/>
  <c r="S48" i="5" s="1"/>
  <c r="G30" i="6"/>
  <c r="S40" i="5" s="1"/>
  <c r="G49" i="6"/>
  <c r="S59" i="5" s="1"/>
  <c r="G33" i="6"/>
  <c r="G25" i="6"/>
  <c r="S35" i="5" s="1"/>
  <c r="G22" i="6"/>
  <c r="S32" i="5" s="1"/>
  <c r="G44" i="6"/>
  <c r="S54" i="5" s="1"/>
  <c r="G36" i="6"/>
  <c r="S46" i="5" s="1"/>
  <c r="G28" i="6"/>
  <c r="S38" i="5" s="1"/>
  <c r="G47" i="6"/>
  <c r="S57" i="5" s="1"/>
  <c r="G31" i="6"/>
  <c r="S41" i="5" s="1"/>
  <c r="G20" i="6"/>
  <c r="S30" i="5" s="1"/>
  <c r="G18" i="6"/>
  <c r="S28" i="5" s="1"/>
  <c r="G50" i="6"/>
  <c r="S60" i="5" s="1"/>
  <c r="G42" i="6"/>
  <c r="S52" i="5" s="1"/>
  <c r="G34" i="6"/>
  <c r="S44" i="5" s="1"/>
  <c r="G26" i="6"/>
  <c r="S36" i="5" s="1"/>
  <c r="G23" i="6"/>
  <c r="G6" i="6"/>
  <c r="S16" i="5" s="1"/>
  <c r="G12" i="6"/>
  <c r="S22" i="5" s="1"/>
  <c r="H14" i="6"/>
  <c r="G7" i="6"/>
  <c r="S17" i="5" s="1"/>
  <c r="G8" i="6"/>
  <c r="S18" i="5" s="1"/>
  <c r="G10" i="6"/>
  <c r="S20" i="5" s="1"/>
  <c r="H3" i="6"/>
  <c r="H6" i="6"/>
  <c r="H8" i="6"/>
  <c r="H10" i="6"/>
  <c r="H12" i="6"/>
  <c r="M15" i="6"/>
  <c r="T25" i="5" s="1"/>
  <c r="G21" i="6"/>
  <c r="S31" i="5" s="1"/>
  <c r="M34" i="6"/>
  <c r="L6" i="3"/>
  <c r="J6" i="3"/>
  <c r="Q10" i="3"/>
  <c r="Q9" i="3"/>
  <c r="Q8" i="3"/>
  <c r="Y15" i="6" l="1"/>
  <c r="Y40" i="6"/>
  <c r="H34" i="6"/>
  <c r="Y10" i="6"/>
  <c r="Y37" i="6"/>
  <c r="Y20" i="6"/>
  <c r="Y6" i="6"/>
  <c r="Y14" i="6"/>
  <c r="H19" i="6"/>
  <c r="H36" i="6"/>
  <c r="H38" i="6"/>
  <c r="Y7" i="6"/>
  <c r="Y44" i="6"/>
  <c r="H27" i="6"/>
  <c r="Y34" i="6"/>
  <c r="T44" i="5"/>
  <c r="Y22" i="6"/>
  <c r="H22" i="6"/>
  <c r="H35" i="6"/>
  <c r="H24" i="6"/>
  <c r="H43" i="6"/>
  <c r="H29" i="6"/>
  <c r="H20" i="6"/>
  <c r="H25" i="6"/>
  <c r="H40" i="6"/>
  <c r="Y46" i="6"/>
  <c r="Y18" i="6"/>
  <c r="T28" i="5"/>
  <c r="H37" i="6"/>
  <c r="H31" i="6"/>
  <c r="H33" i="6"/>
  <c r="Y33" i="6"/>
  <c r="S43" i="5"/>
  <c r="H42" i="6"/>
  <c r="H50" i="6"/>
  <c r="Y30" i="6"/>
  <c r="Y29" i="6"/>
  <c r="H48" i="6"/>
  <c r="Y25" i="6"/>
  <c r="T35" i="5"/>
  <c r="Y19" i="6"/>
  <c r="T29" i="5"/>
  <c r="H45" i="6"/>
  <c r="H39" i="6"/>
  <c r="H41" i="6"/>
  <c r="Y43" i="6"/>
  <c r="T53" i="5"/>
  <c r="Y36" i="6"/>
  <c r="S45" i="5"/>
  <c r="Y45" i="6"/>
  <c r="T55" i="5"/>
  <c r="H46" i="6"/>
  <c r="Y23" i="6"/>
  <c r="S33" i="5"/>
  <c r="Y31" i="6"/>
  <c r="T41" i="5"/>
  <c r="Y32" i="6"/>
  <c r="Y16" i="6"/>
  <c r="Y27" i="6"/>
  <c r="T37" i="5"/>
  <c r="H32" i="6"/>
  <c r="H23" i="6"/>
  <c r="H47" i="6"/>
  <c r="H49" i="6"/>
  <c r="Y42" i="6"/>
  <c r="Y35" i="6"/>
  <c r="T45" i="5"/>
  <c r="H26" i="6"/>
  <c r="H28" i="6"/>
  <c r="H30" i="6"/>
  <c r="Y28" i="6"/>
  <c r="T38" i="5"/>
  <c r="H44" i="6"/>
  <c r="Y38" i="6"/>
  <c r="Y50" i="6"/>
  <c r="L3" i="6"/>
  <c r="U39" i="6"/>
  <c r="Z49" i="5" s="1"/>
  <c r="U21" i="6"/>
  <c r="Z31" i="5" s="1"/>
  <c r="U47" i="6"/>
  <c r="Z57" i="5" s="1"/>
  <c r="U43" i="6"/>
  <c r="Z53" i="5" s="1"/>
  <c r="U24" i="6"/>
  <c r="Z34" i="5" s="1"/>
  <c r="U34" i="6"/>
  <c r="Z44" i="5" s="1"/>
  <c r="U28" i="6"/>
  <c r="Z38" i="5" s="1"/>
  <c r="U30" i="6"/>
  <c r="Z40" i="5" s="1"/>
  <c r="Y24" i="6"/>
  <c r="U45" i="6"/>
  <c r="Z55" i="5" s="1"/>
  <c r="U32" i="6"/>
  <c r="Z42" i="5" s="1"/>
  <c r="U15" i="6"/>
  <c r="Z25" i="5" s="1"/>
  <c r="U41" i="6"/>
  <c r="Z51" i="5" s="1"/>
  <c r="Y39" i="6"/>
  <c r="U26" i="6"/>
  <c r="Z36" i="5" s="1"/>
  <c r="U49" i="6"/>
  <c r="Z59" i="5" s="1"/>
  <c r="U16" i="6"/>
  <c r="Z26" i="5" s="1"/>
  <c r="U9" i="6"/>
  <c r="Z19" i="5" s="1"/>
  <c r="U7" i="6"/>
  <c r="Z17" i="5" s="1"/>
  <c r="Y8" i="6"/>
  <c r="Y26" i="6"/>
  <c r="Y47" i="6"/>
  <c r="Y41" i="6"/>
  <c r="U42" i="6"/>
  <c r="Z52" i="5" s="1"/>
  <c r="U36" i="6"/>
  <c r="Z46" i="5" s="1"/>
  <c r="U38" i="6"/>
  <c r="Z48" i="5" s="1"/>
  <c r="U14" i="6"/>
  <c r="Z24" i="5" s="1"/>
  <c r="Y9" i="6"/>
  <c r="U13" i="6"/>
  <c r="Z23" i="5" s="1"/>
  <c r="U23" i="6"/>
  <c r="Z33" i="5" s="1"/>
  <c r="U10" i="6"/>
  <c r="Z20" i="5" s="1"/>
  <c r="U50" i="6"/>
  <c r="Z60" i="5" s="1"/>
  <c r="U12" i="6"/>
  <c r="Z22" i="5" s="1"/>
  <c r="U35" i="6"/>
  <c r="Z45" i="5" s="1"/>
  <c r="U40" i="6"/>
  <c r="Z50" i="5" s="1"/>
  <c r="U44" i="6"/>
  <c r="Z54" i="5" s="1"/>
  <c r="U46" i="6"/>
  <c r="Z56" i="5" s="1"/>
  <c r="Y17" i="6"/>
  <c r="Y13" i="6"/>
  <c r="U11" i="6"/>
  <c r="Z21" i="5" s="1"/>
  <c r="Y12" i="6"/>
  <c r="U8" i="6"/>
  <c r="Z18" i="5" s="1"/>
  <c r="Y49" i="6"/>
  <c r="U6" i="6"/>
  <c r="Z16" i="5" s="1"/>
  <c r="U18" i="6"/>
  <c r="Z28" i="5" s="1"/>
  <c r="U22" i="6"/>
  <c r="Z32" i="5" s="1"/>
  <c r="U17" i="6"/>
  <c r="Z27" i="5" s="1"/>
  <c r="U29" i="6"/>
  <c r="Z39" i="5" s="1"/>
  <c r="Y48" i="6"/>
  <c r="U20" i="6"/>
  <c r="Z30" i="5" s="1"/>
  <c r="U25" i="6"/>
  <c r="Z35" i="5" s="1"/>
  <c r="U19" i="6"/>
  <c r="Z29" i="5" s="1"/>
  <c r="Y21" i="6"/>
  <c r="U48" i="6"/>
  <c r="Z58" i="5" s="1"/>
  <c r="U31" i="6"/>
  <c r="Z41" i="5" s="1"/>
  <c r="U33" i="6"/>
  <c r="Z43" i="5" s="1"/>
  <c r="U27" i="6"/>
  <c r="Z37" i="5" s="1"/>
  <c r="U37" i="6"/>
  <c r="Z47" i="5" s="1"/>
  <c r="Y11" i="6"/>
  <c r="Q19" i="3"/>
  <c r="Q18" i="3"/>
  <c r="Q12" i="3"/>
  <c r="Q11" i="3"/>
  <c r="Z61" i="5" l="1"/>
  <c r="Y51" i="6"/>
  <c r="U56" i="6" s="1"/>
  <c r="L71" i="5" s="1"/>
  <c r="U4" i="6"/>
  <c r="Q17" i="3"/>
  <c r="P43" i="6" l="1"/>
  <c r="W53" i="5" s="1"/>
  <c r="P27" i="6"/>
  <c r="W37" i="5" s="1"/>
  <c r="P48" i="6"/>
  <c r="W58" i="5" s="1"/>
  <c r="P21" i="6"/>
  <c r="W31" i="5" s="1"/>
  <c r="P19" i="6"/>
  <c r="W29" i="5" s="1"/>
  <c r="P46" i="6"/>
  <c r="W56" i="5" s="1"/>
  <c r="P44" i="6"/>
  <c r="W54" i="5" s="1"/>
  <c r="P16" i="6"/>
  <c r="W26" i="5" s="1"/>
  <c r="P29" i="6"/>
  <c r="W39" i="5" s="1"/>
  <c r="P14" i="6"/>
  <c r="W24" i="5" s="1"/>
  <c r="P8" i="6"/>
  <c r="W18" i="5" s="1"/>
  <c r="P35" i="6"/>
  <c r="W45" i="5" s="1"/>
  <c r="P41" i="6"/>
  <c r="W51" i="5" s="1"/>
  <c r="P31" i="6"/>
  <c r="W41" i="5" s="1"/>
  <c r="P6" i="6"/>
  <c r="W16" i="5" s="1"/>
  <c r="P11" i="6"/>
  <c r="W21" i="5" s="1"/>
  <c r="P38" i="6"/>
  <c r="W48" i="5" s="1"/>
  <c r="P36" i="6"/>
  <c r="W46" i="5" s="1"/>
  <c r="P50" i="6"/>
  <c r="W60" i="5" s="1"/>
  <c r="P3" i="6"/>
  <c r="P45" i="6"/>
  <c r="W55" i="5" s="1"/>
  <c r="P7" i="6"/>
  <c r="W17" i="5" s="1"/>
  <c r="P32" i="6"/>
  <c r="W42" i="5" s="1"/>
  <c r="P30" i="6"/>
  <c r="W40" i="5" s="1"/>
  <c r="P28" i="6"/>
  <c r="W38" i="5" s="1"/>
  <c r="P42" i="6"/>
  <c r="W52" i="5" s="1"/>
  <c r="P24" i="6"/>
  <c r="W34" i="5" s="1"/>
  <c r="P26" i="6"/>
  <c r="W36" i="5" s="1"/>
  <c r="P33" i="6"/>
  <c r="W43" i="5" s="1"/>
  <c r="P37" i="6"/>
  <c r="W47" i="5" s="1"/>
  <c r="P13" i="6"/>
  <c r="W23" i="5" s="1"/>
  <c r="P49" i="6"/>
  <c r="W59" i="5" s="1"/>
  <c r="P47" i="6"/>
  <c r="W57" i="5" s="1"/>
  <c r="P34" i="6"/>
  <c r="W44" i="5" s="1"/>
  <c r="P10" i="6"/>
  <c r="W20" i="5" s="1"/>
  <c r="P20" i="6"/>
  <c r="W30" i="5" s="1"/>
  <c r="P15" i="6"/>
  <c r="W25" i="5" s="1"/>
  <c r="P40" i="6"/>
  <c r="W50" i="5" s="1"/>
  <c r="P39" i="6"/>
  <c r="W49" i="5" s="1"/>
  <c r="P12" i="6"/>
  <c r="W22" i="5" s="1"/>
  <c r="P22" i="6"/>
  <c r="W32" i="5" s="1"/>
  <c r="P23" i="6"/>
  <c r="W33" i="5" s="1"/>
  <c r="P17" i="6"/>
  <c r="W27" i="5" s="1"/>
  <c r="P18" i="6"/>
  <c r="W28" i="5" s="1"/>
  <c r="P9" i="6"/>
  <c r="W19" i="5" s="1"/>
  <c r="P25" i="6"/>
  <c r="W35" i="5" s="1"/>
  <c r="J46" i="11" l="1"/>
  <c r="K46" i="11" l="1"/>
  <c r="L46" i="11"/>
  <c r="M46" i="11" l="1"/>
  <c r="N46" i="11"/>
  <c r="O46" i="11" l="1"/>
  <c r="J68" i="11" s="1"/>
  <c r="AG10" i="15" l="1"/>
  <c r="J63" i="11" a="1"/>
  <c r="P46" i="11"/>
  <c r="M96" i="11" s="1"/>
  <c r="N96" i="11" s="1"/>
  <c r="AG34" i="15" l="1"/>
  <c r="AH34" i="15" s="1"/>
  <c r="AH10" i="15"/>
  <c r="AG106" i="15"/>
  <c r="AH106" i="15" s="1"/>
  <c r="J63" i="11"/>
  <c r="K63" i="11"/>
  <c r="J105" i="11" a="1"/>
  <c r="J67" i="11" l="1"/>
  <c r="N62" i="11" s="1"/>
  <c r="J105" i="11"/>
  <c r="K105" i="11"/>
  <c r="L105" i="11"/>
  <c r="L14" i="3" l="1"/>
  <c r="O114" i="13" l="1"/>
  <c r="K118" i="13" s="1"/>
  <c r="K119" i="13" s="1"/>
  <c r="D111" i="11" l="1"/>
  <c r="K45" i="11" s="1"/>
  <c r="E111" i="11"/>
  <c r="L45" i="11" s="1"/>
  <c r="C111" i="11"/>
  <c r="AF8" i="11" l="1"/>
  <c r="AF7" i="11"/>
  <c r="J45" i="11"/>
  <c r="AF9" i="11"/>
  <c r="AF10" i="11"/>
  <c r="AF11" i="11"/>
  <c r="AG15" i="11" s="1"/>
  <c r="M45" i="11" l="1"/>
  <c r="N45" i="11"/>
  <c r="O45" i="11" l="1"/>
  <c r="J66" i="11" s="1"/>
  <c r="J64" i="11" s="1" a="1"/>
  <c r="J64" i="11" l="1"/>
  <c r="K64" i="11"/>
  <c r="AG9" i="15"/>
  <c r="P45" i="11"/>
  <c r="N129" i="11"/>
  <c r="N134" i="11" s="1"/>
  <c r="J124" i="11"/>
  <c r="J48" i="5" l="1"/>
  <c r="M124" i="11"/>
  <c r="M125" i="11" s="1"/>
  <c r="J47" i="5" s="1"/>
  <c r="N64" i="11"/>
  <c r="AG33" i="15"/>
  <c r="AH9" i="15"/>
  <c r="AC18" i="15" s="1" a="1"/>
  <c r="M95" i="11"/>
  <c r="N95" i="11" s="1"/>
  <c r="K124" i="11"/>
  <c r="J49" i="5" s="1"/>
  <c r="AL132" i="15"/>
  <c r="AL131" i="15"/>
  <c r="AH33" i="15" l="1"/>
  <c r="AG42" i="15" a="1"/>
  <c r="N65" i="11"/>
  <c r="J40" i="5" s="1"/>
  <c r="J18" i="3" s="1"/>
  <c r="N105" i="11"/>
  <c r="AW21" i="15"/>
  <c r="AW24" i="15"/>
  <c r="AW23" i="15"/>
  <c r="AW22" i="15"/>
  <c r="AC18" i="15"/>
  <c r="AD18" i="15"/>
  <c r="AI42" i="15" l="1"/>
  <c r="AG42" i="15"/>
  <c r="AH42" i="15"/>
  <c r="AW25" i="15"/>
  <c r="J106" i="11" a="1"/>
  <c r="J113" i="11" a="1"/>
  <c r="AG21" i="15"/>
  <c r="AD49" i="15" l="1"/>
  <c r="AP25" i="15" a="1"/>
  <c r="AP25" i="15" s="1"/>
  <c r="AP26" i="15" s="1"/>
  <c r="AP137" i="15" s="1"/>
  <c r="H54" i="5" s="1"/>
  <c r="AO49" i="15" a="1"/>
  <c r="AO49" i="15" s="1"/>
  <c r="AM49" i="15" a="1"/>
  <c r="AM49" i="15" s="1"/>
  <c r="AM25" i="15" a="1"/>
  <c r="AM25" i="15" s="1"/>
  <c r="AM26" i="15" s="1"/>
  <c r="AM137" i="15" s="1"/>
  <c r="E54" i="5" s="1"/>
  <c r="AR49" i="15" a="1"/>
  <c r="AR49" i="15" s="1"/>
  <c r="AQ49" i="15" a="1"/>
  <c r="AQ49" i="15" s="1"/>
  <c r="AS25" i="15" a="1"/>
  <c r="AS25" i="15" s="1"/>
  <c r="AS26" i="15" s="1"/>
  <c r="AS137" i="15" s="1"/>
  <c r="K54" i="5" s="1"/>
  <c r="AQ25" i="15" a="1"/>
  <c r="AQ25" i="15" s="1"/>
  <c r="AQ26" i="15" s="1"/>
  <c r="AQ137" i="15" s="1"/>
  <c r="I54" i="5" s="1"/>
  <c r="AS49" i="15" a="1"/>
  <c r="AS49" i="15" s="1"/>
  <c r="AL25" i="15" a="1"/>
  <c r="AL25" i="15" s="1"/>
  <c r="AL26" i="15" s="1"/>
  <c r="AR25" i="15" a="1"/>
  <c r="AR25" i="15" s="1"/>
  <c r="AR26" i="15" s="1"/>
  <c r="AR137" i="15" s="1"/>
  <c r="J54" i="5" s="1"/>
  <c r="AN25" i="15" a="1"/>
  <c r="AN25" i="15" s="1"/>
  <c r="AN26" i="15" s="1"/>
  <c r="AN137" i="15" s="1"/>
  <c r="F54" i="5" s="1"/>
  <c r="AM121" i="15" a="1"/>
  <c r="AM121" i="15" s="1"/>
  <c r="AN121" i="15" a="1"/>
  <c r="AN121" i="15" s="1"/>
  <c r="AO121" i="15" a="1"/>
  <c r="AO121" i="15" s="1"/>
  <c r="AP121" i="15" a="1"/>
  <c r="AP121" i="15" s="1"/>
  <c r="AQ121" i="15" a="1"/>
  <c r="AQ121" i="15" s="1"/>
  <c r="AR121" i="15" a="1"/>
  <c r="AR121" i="15" s="1"/>
  <c r="AS121" i="15" a="1"/>
  <c r="AS121" i="15" s="1"/>
  <c r="AO25" i="15" a="1"/>
  <c r="AO25" i="15" s="1"/>
  <c r="AO26" i="15" s="1"/>
  <c r="AO137" i="15" s="1"/>
  <c r="G54" i="5" s="1"/>
  <c r="AN49" i="15" a="1"/>
  <c r="AN49" i="15" s="1"/>
  <c r="AL49" i="15" a="1"/>
  <c r="AL49" i="15" s="1"/>
  <c r="AP49" i="15" a="1"/>
  <c r="AP49" i="15" s="1"/>
  <c r="AL121" i="15" a="1"/>
  <c r="AL121" i="15" s="1"/>
  <c r="K106" i="11"/>
  <c r="J106" i="11"/>
  <c r="J113" i="11"/>
  <c r="K113" i="11"/>
  <c r="AU137" i="15"/>
  <c r="M54" i="5" s="1"/>
  <c r="N106" i="11" l="1"/>
  <c r="N113" i="11"/>
  <c r="AT26" i="15"/>
  <c r="AT137" i="15" s="1"/>
  <c r="L54" i="5" s="1"/>
  <c r="AL137" i="15"/>
  <c r="D54" i="5" s="1"/>
  <c r="AU26" i="15"/>
  <c r="AC42" i="15" l="1" a="1"/>
  <c r="AC42" i="15" l="1"/>
  <c r="AD42" i="15"/>
  <c r="AD48" i="15" l="1"/>
  <c r="AG45" i="15" s="1"/>
  <c r="AU138" i="15" s="1"/>
  <c r="M55" i="5" s="1"/>
  <c r="AN50" i="15" l="1"/>
  <c r="AN138" i="15" s="1"/>
  <c r="F55" i="5" s="1"/>
  <c r="AO50" i="15"/>
  <c r="AO138" i="15" s="1"/>
  <c r="G55" i="5" s="1"/>
  <c r="AQ50" i="15"/>
  <c r="AQ138" i="15" s="1"/>
  <c r="I55" i="5" s="1"/>
  <c r="AL50" i="15"/>
  <c r="AL138" i="15" s="1"/>
  <c r="D55" i="5" s="1"/>
  <c r="AP50" i="15"/>
  <c r="AP138" i="15" s="1"/>
  <c r="H55" i="5" s="1"/>
  <c r="AS50" i="15"/>
  <c r="AS138" i="15" s="1"/>
  <c r="K55" i="5" s="1"/>
  <c r="AR50" i="15"/>
  <c r="AR138" i="15" s="1"/>
  <c r="J55" i="5" s="1"/>
  <c r="AM50" i="15"/>
  <c r="AM138" i="15" s="1"/>
  <c r="E55" i="5" s="1"/>
  <c r="AT50" i="15" l="1"/>
  <c r="AT138" i="15" s="1"/>
  <c r="L55" i="5" s="1"/>
  <c r="AU50" i="15"/>
  <c r="C105" i="17" l="1" a="1"/>
  <c r="E105" i="17" l="1"/>
  <c r="D105" i="17"/>
  <c r="C105" i="17"/>
  <c r="C112" i="17" l="1"/>
  <c r="J9" i="17"/>
  <c r="D112" i="17"/>
  <c r="K9" i="17"/>
  <c r="E112" i="17"/>
  <c r="L9" i="17"/>
  <c r="AF10" i="17" l="1"/>
  <c r="AF7" i="17"/>
  <c r="AF11" i="17"/>
  <c r="AG15" i="17" s="1"/>
  <c r="J45" i="17"/>
  <c r="N45" i="17" s="1"/>
  <c r="AF8" i="17"/>
  <c r="AF9" i="17"/>
  <c r="L45" i="17"/>
  <c r="K45" i="17"/>
  <c r="M45" i="17" l="1"/>
  <c r="O45" i="17" s="1"/>
  <c r="J66" i="17" s="1"/>
  <c r="J125" i="17" l="1"/>
  <c r="N130" i="17"/>
  <c r="P45" i="17"/>
  <c r="AG57" i="15"/>
  <c r="N135" i="17" l="1"/>
  <c r="G36" i="5" s="1"/>
  <c r="L48" i="5"/>
  <c r="M125" i="17"/>
  <c r="K125" i="17"/>
  <c r="L49" i="5" s="1"/>
  <c r="M95" i="17"/>
  <c r="N95" i="17" s="1"/>
  <c r="AG105" i="15"/>
  <c r="AH105" i="15" s="1"/>
  <c r="AH57" i="15"/>
  <c r="AG81" i="15"/>
  <c r="AH81" i="15" s="1"/>
  <c r="M126" i="17" l="1"/>
  <c r="L47" i="5" s="1"/>
  <c r="J106" i="17" a="1"/>
  <c r="J114" i="17" a="1"/>
  <c r="K106" i="17" l="1"/>
  <c r="J106" i="17"/>
  <c r="J114" i="17"/>
  <c r="K114" i="17"/>
  <c r="N114" i="17" l="1"/>
  <c r="K11" i="17" l="1"/>
  <c r="L11" i="17"/>
  <c r="E114" i="17"/>
  <c r="L47" i="17" s="1"/>
  <c r="D114" i="17"/>
  <c r="C114" i="17" l="1"/>
  <c r="J11" i="17"/>
  <c r="AJ8" i="17" s="1"/>
  <c r="K47" i="17"/>
  <c r="AJ11" i="17" l="1"/>
  <c r="AG17" i="17" s="1"/>
  <c r="AJ9" i="17"/>
  <c r="AJ10" i="17"/>
  <c r="J47" i="17"/>
  <c r="M47" i="17" s="1"/>
  <c r="AJ7" i="17"/>
  <c r="N47" i="17" l="1"/>
  <c r="O47" i="17" s="1"/>
  <c r="J69" i="17" l="1"/>
  <c r="AG59" i="15"/>
  <c r="P47" i="17"/>
  <c r="M97" i="17" s="1"/>
  <c r="N97" i="17" s="1"/>
  <c r="AG107" i="15" l="1"/>
  <c r="AH107" i="15" s="1"/>
  <c r="AH59" i="15"/>
  <c r="AG83" i="15"/>
  <c r="AH83" i="15" s="1"/>
  <c r="D115" i="17" l="1"/>
  <c r="K48" i="17" s="1"/>
  <c r="C115" i="17"/>
  <c r="E115" i="17"/>
  <c r="L48" i="17" s="1"/>
  <c r="AL11" i="17" l="1"/>
  <c r="AL9" i="17"/>
  <c r="AL7" i="17"/>
  <c r="AL8" i="17"/>
  <c r="AL10" i="17"/>
  <c r="J48" i="17"/>
  <c r="M48" i="17" l="1"/>
  <c r="N48" i="17"/>
  <c r="O48" i="17" l="1"/>
  <c r="J70" i="17" l="1"/>
  <c r="J63" i="17" a="1"/>
  <c r="P48" i="17"/>
  <c r="M98" i="17" s="1"/>
  <c r="AG60" i="15"/>
  <c r="J63" i="17" l="1"/>
  <c r="K63" i="17"/>
  <c r="N98" i="17"/>
  <c r="AG84" i="15"/>
  <c r="AH84" i="15" s="1"/>
  <c r="AG108" i="15"/>
  <c r="AH108" i="15" s="1"/>
  <c r="AG114" i="15" s="1" a="1"/>
  <c r="AH60" i="15"/>
  <c r="AC66" i="15" s="1" a="1"/>
  <c r="J67" i="17" l="1"/>
  <c r="J105" i="17" a="1"/>
  <c r="AH114" i="15"/>
  <c r="AG114" i="15"/>
  <c r="AD66" i="15"/>
  <c r="AC66" i="15"/>
  <c r="AD72" i="15" s="1"/>
  <c r="N62" i="17" l="1"/>
  <c r="J64" i="17" a="1"/>
  <c r="K105" i="17"/>
  <c r="L105" i="17"/>
  <c r="J105" i="17"/>
  <c r="J64" i="17" l="1"/>
  <c r="K64" i="17"/>
  <c r="N64" i="17" l="1"/>
  <c r="N65" i="17" l="1"/>
  <c r="L40" i="5" s="1"/>
  <c r="AD120" i="15" s="1"/>
  <c r="AG120" i="15" s="1"/>
  <c r="AE129" i="15" s="1"/>
  <c r="N106" i="17"/>
  <c r="N105" i="17"/>
  <c r="AC114" i="15" a="1"/>
  <c r="AD121" i="15" l="1"/>
  <c r="AG121" i="15" s="1"/>
  <c r="L18" i="3"/>
  <c r="AC114" i="15"/>
  <c r="AD114" i="15"/>
  <c r="AG117" i="15" l="1"/>
  <c r="J113" i="17" a="1"/>
  <c r="K113" i="17" l="1"/>
  <c r="J113" i="17"/>
  <c r="L113" i="17"/>
  <c r="N113" i="17" l="1"/>
  <c r="J117" i="17" l="1"/>
  <c r="J118" i="17" s="1"/>
  <c r="L41" i="5" s="1"/>
  <c r="L19" i="3" l="1"/>
  <c r="D6" i="14"/>
  <c r="J112" i="11" a="1"/>
  <c r="K112" i="11" l="1"/>
  <c r="L112" i="11"/>
  <c r="J112" i="11"/>
  <c r="N112" i="11" l="1"/>
  <c r="AC90" i="15" a="1"/>
  <c r="J116" i="11" l="1"/>
  <c r="J117" i="11" s="1"/>
  <c r="J41" i="5" s="1"/>
  <c r="AC90" i="15"/>
  <c r="AD90" i="15"/>
  <c r="D5" i="14" l="1"/>
  <c r="D7" i="14" s="1"/>
  <c r="D14" i="14" s="1"/>
  <c r="D15" i="14" s="1"/>
  <c r="L44" i="5" s="1"/>
  <c r="L23" i="3" s="1"/>
  <c r="F8" i="16"/>
  <c r="J19" i="3"/>
  <c r="AG93" i="15"/>
  <c r="D8" i="14" l="1"/>
  <c r="L43" i="5" s="1"/>
  <c r="L22" i="3" s="1"/>
  <c r="Q20" i="3" s="1"/>
  <c r="R10" i="16"/>
  <c r="R12" i="16" s="1"/>
  <c r="AL98" i="15"/>
  <c r="AO98" i="15"/>
  <c r="AO140" i="15" s="1"/>
  <c r="G57" i="5" s="1"/>
  <c r="AU140" i="15"/>
  <c r="M57" i="5" s="1"/>
  <c r="AQ98" i="15"/>
  <c r="AQ140" i="15" s="1"/>
  <c r="I57" i="5" s="1"/>
  <c r="AS98" i="15"/>
  <c r="AS140" i="15" s="1"/>
  <c r="K57" i="5" s="1"/>
  <c r="AM98" i="15"/>
  <c r="AM140" i="15" s="1"/>
  <c r="E57" i="5" s="1"/>
  <c r="AN98" i="15"/>
  <c r="AN140" i="15" s="1"/>
  <c r="F57" i="5" s="1"/>
  <c r="AP98" i="15"/>
  <c r="AP140" i="15" s="1"/>
  <c r="H57" i="5" s="1"/>
  <c r="AR98" i="15"/>
  <c r="AR140" i="15" s="1"/>
  <c r="J57" i="5" s="1"/>
  <c r="L24" i="3" l="1"/>
  <c r="Y4" i="3" s="1"/>
  <c r="C10" i="6"/>
  <c r="J32" i="6" s="1"/>
  <c r="R32" i="6" s="1"/>
  <c r="N32" i="6" s="1"/>
  <c r="AT98" i="15"/>
  <c r="AT140" i="15" s="1"/>
  <c r="L57" i="5" s="1"/>
  <c r="AL140" i="15"/>
  <c r="D57" i="5" s="1"/>
  <c r="AU98" i="15"/>
  <c r="AE125" i="15" s="1"/>
  <c r="Z7" i="3" l="1"/>
  <c r="Z11" i="3"/>
  <c r="Z13" i="3"/>
  <c r="Z6" i="3"/>
  <c r="Z8" i="3"/>
  <c r="Z9" i="3"/>
  <c r="Z4" i="3"/>
  <c r="L25" i="3" s="1"/>
  <c r="AA10" i="5" s="1"/>
  <c r="Z12" i="3"/>
  <c r="Z10" i="3"/>
  <c r="AA9" i="5"/>
  <c r="J9" i="6"/>
  <c r="R9" i="6" s="1"/>
  <c r="N9" i="6" s="1"/>
  <c r="S13" i="6"/>
  <c r="T13" i="6" s="1"/>
  <c r="L13" i="6" s="1"/>
  <c r="S8" i="6"/>
  <c r="T8" i="6" s="1"/>
  <c r="L8" i="6" s="1"/>
  <c r="J23" i="6"/>
  <c r="R23" i="6" s="1"/>
  <c r="N23" i="6" s="1"/>
  <c r="S7" i="6"/>
  <c r="T7" i="6" s="1"/>
  <c r="L7" i="6" s="1"/>
  <c r="S37" i="6"/>
  <c r="T37" i="6" s="1"/>
  <c r="L37" i="6" s="1"/>
  <c r="S50" i="6"/>
  <c r="O50" i="6" s="1"/>
  <c r="S27" i="6"/>
  <c r="T27" i="6" s="1"/>
  <c r="L27" i="6" s="1"/>
  <c r="S17" i="6"/>
  <c r="O17" i="6" s="1"/>
  <c r="J48" i="6"/>
  <c r="R48" i="6" s="1"/>
  <c r="N48" i="6" s="1"/>
  <c r="J31" i="6"/>
  <c r="R31" i="6" s="1"/>
  <c r="N31" i="6" s="1"/>
  <c r="J47" i="6"/>
  <c r="R47" i="6" s="1"/>
  <c r="N47" i="6" s="1"/>
  <c r="S36" i="6"/>
  <c r="O36" i="6" s="1"/>
  <c r="J27" i="6"/>
  <c r="R27" i="6" s="1"/>
  <c r="N27" i="6" s="1"/>
  <c r="S16" i="6"/>
  <c r="O16" i="6" s="1"/>
  <c r="J36" i="6"/>
  <c r="R36" i="6" s="1"/>
  <c r="N36" i="6" s="1"/>
  <c r="S21" i="6"/>
  <c r="T21" i="6" s="1"/>
  <c r="L21" i="6" s="1"/>
  <c r="S35" i="6"/>
  <c r="T35" i="6" s="1"/>
  <c r="L35" i="6" s="1"/>
  <c r="J50" i="6"/>
  <c r="R50" i="6" s="1"/>
  <c r="N50" i="6" s="1"/>
  <c r="J21" i="6"/>
  <c r="R21" i="6" s="1"/>
  <c r="N21" i="6" s="1"/>
  <c r="J26" i="6"/>
  <c r="R26" i="6" s="1"/>
  <c r="N26" i="6" s="1"/>
  <c r="S6" i="6"/>
  <c r="T6" i="6" s="1"/>
  <c r="L6" i="6" s="1"/>
  <c r="S39" i="6"/>
  <c r="T39" i="6" s="1"/>
  <c r="L39" i="6" s="1"/>
  <c r="S28" i="6"/>
  <c r="O28" i="6" s="1"/>
  <c r="J13" i="6"/>
  <c r="R13" i="6" s="1"/>
  <c r="N13" i="6" s="1"/>
  <c r="S38" i="6"/>
  <c r="T38" i="6" s="1"/>
  <c r="L38" i="6" s="1"/>
  <c r="S26" i="6"/>
  <c r="T26" i="6" s="1"/>
  <c r="L26" i="6" s="1"/>
  <c r="S32" i="6"/>
  <c r="O32" i="6" s="1"/>
  <c r="J17" i="6"/>
  <c r="R17" i="6" s="1"/>
  <c r="N17" i="6" s="1"/>
  <c r="S47" i="6"/>
  <c r="T47" i="6" s="1"/>
  <c r="L47" i="6" s="1"/>
  <c r="S24" i="6"/>
  <c r="T24" i="6" s="1"/>
  <c r="L24" i="6" s="1"/>
  <c r="S30" i="6"/>
  <c r="O30" i="6" s="1"/>
  <c r="J15" i="6"/>
  <c r="R15" i="6" s="1"/>
  <c r="N15" i="6" s="1"/>
  <c r="S10" i="6"/>
  <c r="O10" i="6" s="1"/>
  <c r="S15" i="6"/>
  <c r="T15" i="6" s="1"/>
  <c r="L15" i="6" s="1"/>
  <c r="S49" i="6"/>
  <c r="T49" i="6" s="1"/>
  <c r="L49" i="6" s="1"/>
  <c r="J33" i="6"/>
  <c r="R33" i="6" s="1"/>
  <c r="N33" i="6" s="1"/>
  <c r="S11" i="6"/>
  <c r="T11" i="6" s="1"/>
  <c r="L11" i="6" s="1"/>
  <c r="J40" i="6"/>
  <c r="R40" i="6" s="1"/>
  <c r="N40" i="6" s="1"/>
  <c r="J14" i="6"/>
  <c r="R14" i="6" s="1"/>
  <c r="N14" i="6" s="1"/>
  <c r="S19" i="6"/>
  <c r="T19" i="6" s="1"/>
  <c r="L19" i="6" s="1"/>
  <c r="J45" i="6"/>
  <c r="R45" i="6" s="1"/>
  <c r="N45" i="6" s="1"/>
  <c r="S42" i="6"/>
  <c r="T42" i="6" s="1"/>
  <c r="L42" i="6" s="1"/>
  <c r="J22" i="6"/>
  <c r="R22" i="6" s="1"/>
  <c r="N22" i="6" s="1"/>
  <c r="S41" i="6"/>
  <c r="O41" i="6" s="1"/>
  <c r="J29" i="6"/>
  <c r="R29" i="6" s="1"/>
  <c r="N29" i="6" s="1"/>
  <c r="S12" i="6"/>
  <c r="T12" i="6" s="1"/>
  <c r="L12" i="6" s="1"/>
  <c r="J30" i="6"/>
  <c r="R30" i="6" s="1"/>
  <c r="N30" i="6" s="1"/>
  <c r="S23" i="6"/>
  <c r="T23" i="6" s="1"/>
  <c r="L23" i="6" s="1"/>
  <c r="S33" i="6"/>
  <c r="T33" i="6" s="1"/>
  <c r="L33" i="6" s="1"/>
  <c r="J43" i="6"/>
  <c r="R43" i="6" s="1"/>
  <c r="N43" i="6" s="1"/>
  <c r="J35" i="6"/>
  <c r="R35" i="6" s="1"/>
  <c r="N35" i="6" s="1"/>
  <c r="S43" i="6"/>
  <c r="O43" i="6" s="1"/>
  <c r="J41" i="6"/>
  <c r="R41" i="6" s="1"/>
  <c r="N41" i="6" s="1"/>
  <c r="J7" i="6"/>
  <c r="R7" i="6" s="1"/>
  <c r="N7" i="6" s="1"/>
  <c r="S22" i="6"/>
  <c r="O22" i="6" s="1"/>
  <c r="J6" i="6"/>
  <c r="W6" i="6" s="1"/>
  <c r="J20" i="6"/>
  <c r="R20" i="6" s="1"/>
  <c r="N20" i="6" s="1"/>
  <c r="J8" i="6"/>
  <c r="R8" i="6" s="1"/>
  <c r="N8" i="6" s="1"/>
  <c r="J39" i="6"/>
  <c r="R39" i="6" s="1"/>
  <c r="N39" i="6" s="1"/>
  <c r="J3" i="6"/>
  <c r="R3" i="6" s="1"/>
  <c r="N3" i="6" s="1"/>
  <c r="C20" i="6" s="1"/>
  <c r="U55" i="6" s="1"/>
  <c r="L70" i="5" s="1"/>
  <c r="J37" i="6"/>
  <c r="R37" i="6" s="1"/>
  <c r="N37" i="6" s="1"/>
  <c r="S44" i="6"/>
  <c r="O44" i="6" s="1"/>
  <c r="S25" i="6"/>
  <c r="T25" i="6" s="1"/>
  <c r="L25" i="6" s="1"/>
  <c r="J42" i="6"/>
  <c r="R42" i="6" s="1"/>
  <c r="N42" i="6" s="1"/>
  <c r="J49" i="6"/>
  <c r="R49" i="6" s="1"/>
  <c r="N49" i="6" s="1"/>
  <c r="J25" i="6"/>
  <c r="R25" i="6" s="1"/>
  <c r="N25" i="6" s="1"/>
  <c r="S20" i="6"/>
  <c r="T20" i="6" s="1"/>
  <c r="L20" i="6" s="1"/>
  <c r="S14" i="6"/>
  <c r="T14" i="6" s="1"/>
  <c r="L14" i="6" s="1"/>
  <c r="J16" i="6"/>
  <c r="R16" i="6" s="1"/>
  <c r="N16" i="6" s="1"/>
  <c r="J38" i="6"/>
  <c r="R38" i="6" s="1"/>
  <c r="N38" i="6" s="1"/>
  <c r="J28" i="6"/>
  <c r="R28" i="6" s="1"/>
  <c r="N28" i="6" s="1"/>
  <c r="J12" i="6"/>
  <c r="R12" i="6" s="1"/>
  <c r="N12" i="6" s="1"/>
  <c r="S9" i="6"/>
  <c r="O9" i="6" s="1"/>
  <c r="S18" i="6"/>
  <c r="O18" i="6" s="1"/>
  <c r="J10" i="6"/>
  <c r="R10" i="6" s="1"/>
  <c r="N10" i="6" s="1"/>
  <c r="J19" i="6"/>
  <c r="R19" i="6" s="1"/>
  <c r="N19" i="6" s="1"/>
  <c r="J46" i="6"/>
  <c r="R46" i="6" s="1"/>
  <c r="N46" i="6" s="1"/>
  <c r="S48" i="6"/>
  <c r="O48" i="6" s="1"/>
  <c r="S46" i="6"/>
  <c r="O46" i="6" s="1"/>
  <c r="S40" i="6"/>
  <c r="T40" i="6" s="1"/>
  <c r="L40" i="6" s="1"/>
  <c r="J11" i="6"/>
  <c r="R11" i="6" s="1"/>
  <c r="N11" i="6" s="1"/>
  <c r="S34" i="6"/>
  <c r="T34" i="6" s="1"/>
  <c r="L34" i="6" s="1"/>
  <c r="S45" i="6"/>
  <c r="T45" i="6" s="1"/>
  <c r="L45" i="6" s="1"/>
  <c r="J18" i="6"/>
  <c r="R18" i="6" s="1"/>
  <c r="N18" i="6" s="1"/>
  <c r="S31" i="6"/>
  <c r="O31" i="6" s="1"/>
  <c r="J24" i="6"/>
  <c r="R24" i="6" s="1"/>
  <c r="N24" i="6" s="1"/>
  <c r="J44" i="6"/>
  <c r="R44" i="6" s="1"/>
  <c r="N44" i="6" s="1"/>
  <c r="S29" i="6"/>
  <c r="T29" i="6" s="1"/>
  <c r="L29" i="6" s="1"/>
  <c r="J34" i="6"/>
  <c r="R34" i="6" s="1"/>
  <c r="N34" i="6" s="1"/>
  <c r="Q32" i="6"/>
  <c r="Y42" i="5"/>
  <c r="Q22" i="6" l="1"/>
  <c r="K22" i="6" s="1"/>
  <c r="I22" i="6" s="1"/>
  <c r="Y34" i="5"/>
  <c r="Y24" i="5"/>
  <c r="V14" i="6"/>
  <c r="AA24" i="5" s="1"/>
  <c r="Y30" i="5"/>
  <c r="V20" i="6"/>
  <c r="AA30" i="5" s="1"/>
  <c r="Y58" i="5"/>
  <c r="V48" i="6"/>
  <c r="AA58" i="5" s="1"/>
  <c r="Q35" i="6"/>
  <c r="K35" i="6" s="1"/>
  <c r="I35" i="6" s="1"/>
  <c r="V45" i="5"/>
  <c r="Q43" i="6"/>
  <c r="X53" i="5" s="1"/>
  <c r="V53" i="5"/>
  <c r="Q28" i="6"/>
  <c r="X38" i="5" s="1"/>
  <c r="Q36" i="6"/>
  <c r="K36" i="6" s="1"/>
  <c r="I36" i="6" s="1"/>
  <c r="Y41" i="5"/>
  <c r="V31" i="6"/>
  <c r="AA41" i="5" s="1"/>
  <c r="Q42" i="6"/>
  <c r="X52" i="5" s="1"/>
  <c r="V42" i="6"/>
  <c r="AA52" i="5" s="1"/>
  <c r="Q21" i="6"/>
  <c r="K21" i="6" s="1"/>
  <c r="I21" i="6" s="1"/>
  <c r="Y18" i="5"/>
  <c r="Y56" i="5"/>
  <c r="Y29" i="5"/>
  <c r="V19" i="6"/>
  <c r="AA29" i="5" s="1"/>
  <c r="Y33" i="5"/>
  <c r="V33" i="5"/>
  <c r="Q45" i="6"/>
  <c r="X55" i="5" s="1"/>
  <c r="Q11" i="6"/>
  <c r="K11" i="6" s="1"/>
  <c r="I11" i="6" s="1"/>
  <c r="V21" i="5"/>
  <c r="Y37" i="5"/>
  <c r="V37" i="5"/>
  <c r="Y23" i="5"/>
  <c r="V23" i="5"/>
  <c r="Y54" i="5"/>
  <c r="V54" i="5"/>
  <c r="Q26" i="6"/>
  <c r="X36" i="5" s="1"/>
  <c r="V26" i="6"/>
  <c r="AA36" i="5" s="1"/>
  <c r="Y49" i="5"/>
  <c r="Y43" i="5"/>
  <c r="Q17" i="6"/>
  <c r="K17" i="6" s="1"/>
  <c r="I17" i="6" s="1"/>
  <c r="V17" i="6"/>
  <c r="AA27" i="5" s="1"/>
  <c r="Q34" i="6"/>
  <c r="X44" i="5" s="1"/>
  <c r="Q29" i="6"/>
  <c r="K29" i="6" s="1"/>
  <c r="I29" i="6" s="1"/>
  <c r="V29" i="6"/>
  <c r="AA39" i="5" s="1"/>
  <c r="Y35" i="5"/>
  <c r="V35" i="5"/>
  <c r="Q9" i="6"/>
  <c r="X19" i="5" s="1"/>
  <c r="V9" i="6"/>
  <c r="AA19" i="5" s="1"/>
  <c r="Y26" i="5"/>
  <c r="Q16" i="6"/>
  <c r="X26" i="5" s="1"/>
  <c r="Y53" i="5"/>
  <c r="Q30" i="6"/>
  <c r="K30" i="6" s="1"/>
  <c r="I30" i="6" s="1"/>
  <c r="Y40" i="5"/>
  <c r="Q13" i="6"/>
  <c r="K13" i="6" s="1"/>
  <c r="I13" i="6" s="1"/>
  <c r="O8" i="6"/>
  <c r="V44" i="5"/>
  <c r="Y44" i="5"/>
  <c r="Q50" i="6"/>
  <c r="X60" i="5" s="1"/>
  <c r="Y60" i="5"/>
  <c r="Q31" i="6"/>
  <c r="X41" i="5" s="1"/>
  <c r="Q41" i="6"/>
  <c r="K41" i="6" s="1"/>
  <c r="I41" i="6" s="1"/>
  <c r="Q27" i="6"/>
  <c r="K27" i="6" s="1"/>
  <c r="I27" i="6" s="1"/>
  <c r="O20" i="6"/>
  <c r="Q48" i="6"/>
  <c r="K48" i="6" s="1"/>
  <c r="I48" i="6" s="1"/>
  <c r="O47" i="6"/>
  <c r="O33" i="6"/>
  <c r="Y46" i="5"/>
  <c r="O21" i="6"/>
  <c r="O35" i="6"/>
  <c r="Q25" i="6"/>
  <c r="K25" i="6" s="1"/>
  <c r="I25" i="6" s="1"/>
  <c r="Y51" i="5"/>
  <c r="V39" i="6"/>
  <c r="AA49" i="5" s="1"/>
  <c r="O24" i="6"/>
  <c r="V46" i="5"/>
  <c r="Y17" i="5"/>
  <c r="Q7" i="6"/>
  <c r="K7" i="6" s="1"/>
  <c r="I7" i="6" s="1"/>
  <c r="V21" i="6"/>
  <c r="AA31" i="5" s="1"/>
  <c r="T18" i="6"/>
  <c r="L18" i="6" s="1"/>
  <c r="O7" i="6"/>
  <c r="Y36" i="5"/>
  <c r="O37" i="6"/>
  <c r="Q23" i="6"/>
  <c r="X33" i="5" s="1"/>
  <c r="Y19" i="5"/>
  <c r="T50" i="6"/>
  <c r="L50" i="6" s="1"/>
  <c r="T16" i="6"/>
  <c r="L16" i="6" s="1"/>
  <c r="T17" i="6"/>
  <c r="L17" i="6" s="1"/>
  <c r="O13" i="6"/>
  <c r="T28" i="6"/>
  <c r="L28" i="6" s="1"/>
  <c r="Y38" i="5"/>
  <c r="O26" i="6"/>
  <c r="T32" i="6"/>
  <c r="L32" i="6" s="1"/>
  <c r="V38" i="5"/>
  <c r="T46" i="6"/>
  <c r="L46" i="6" s="1"/>
  <c r="O29" i="6"/>
  <c r="O12" i="6"/>
  <c r="Y57" i="5"/>
  <c r="Q47" i="6"/>
  <c r="X57" i="5" s="1"/>
  <c r="Q20" i="6"/>
  <c r="K20" i="6" s="1"/>
  <c r="I20" i="6" s="1"/>
  <c r="T36" i="6"/>
  <c r="L36" i="6" s="1"/>
  <c r="Q10" i="6"/>
  <c r="X20" i="5" s="1"/>
  <c r="T10" i="6"/>
  <c r="L10" i="6" s="1"/>
  <c r="Q19" i="6"/>
  <c r="K19" i="6" s="1"/>
  <c r="I19" i="6" s="1"/>
  <c r="T41" i="6"/>
  <c r="L41" i="6" s="1"/>
  <c r="Y39" i="5"/>
  <c r="O39" i="6"/>
  <c r="T43" i="6"/>
  <c r="L43" i="6" s="1"/>
  <c r="O14" i="6"/>
  <c r="O27" i="6"/>
  <c r="Y31" i="5"/>
  <c r="Y47" i="5"/>
  <c r="Q49" i="6"/>
  <c r="X59" i="5" s="1"/>
  <c r="Y21" i="5"/>
  <c r="Q44" i="6"/>
  <c r="K44" i="6" s="1"/>
  <c r="I44" i="6" s="1"/>
  <c r="O11" i="6"/>
  <c r="Y59" i="5"/>
  <c r="Y48" i="5"/>
  <c r="Q14" i="6"/>
  <c r="X24" i="5" s="1"/>
  <c r="O23" i="6"/>
  <c r="Q38" i="6"/>
  <c r="K38" i="6" s="1"/>
  <c r="I38" i="6" s="1"/>
  <c r="Y32" i="5"/>
  <c r="V22" i="6"/>
  <c r="AA32" i="5" s="1"/>
  <c r="Y22" i="5"/>
  <c r="Q12" i="6"/>
  <c r="X22" i="5" s="1"/>
  <c r="Y45" i="5"/>
  <c r="Q39" i="6"/>
  <c r="K39" i="6" s="1"/>
  <c r="I39" i="6" s="1"/>
  <c r="Q18" i="6"/>
  <c r="K18" i="6" s="1"/>
  <c r="I18" i="6" s="1"/>
  <c r="Q24" i="6"/>
  <c r="X34" i="5" s="1"/>
  <c r="Y28" i="5"/>
  <c r="V34" i="5"/>
  <c r="T22" i="6"/>
  <c r="L22" i="6" s="1"/>
  <c r="O15" i="6"/>
  <c r="Q40" i="6"/>
  <c r="X50" i="5" s="1"/>
  <c r="Y20" i="5"/>
  <c r="V8" i="6"/>
  <c r="AA18" i="5" s="1"/>
  <c r="Q15" i="6"/>
  <c r="X25" i="5" s="1"/>
  <c r="Q37" i="6"/>
  <c r="X47" i="5" s="1"/>
  <c r="Y55" i="5"/>
  <c r="O25" i="6"/>
  <c r="Y50" i="5"/>
  <c r="Q8" i="6"/>
  <c r="K8" i="6" s="1"/>
  <c r="I8" i="6" s="1"/>
  <c r="Y25" i="5"/>
  <c r="R6" i="6"/>
  <c r="N6" i="6" s="1"/>
  <c r="Q46" i="6"/>
  <c r="X56" i="5" s="1"/>
  <c r="T9" i="6"/>
  <c r="L9" i="6" s="1"/>
  <c r="O42" i="6"/>
  <c r="O40" i="6"/>
  <c r="Y27" i="5"/>
  <c r="T44" i="6"/>
  <c r="L44" i="6" s="1"/>
  <c r="V33" i="6"/>
  <c r="AA43" i="5" s="1"/>
  <c r="V46" i="6"/>
  <c r="AA56" i="5" s="1"/>
  <c r="O6" i="6"/>
  <c r="Q3" i="6"/>
  <c r="K3" i="6" s="1"/>
  <c r="I3" i="6" s="1"/>
  <c r="Q33" i="6"/>
  <c r="K33" i="6" s="1"/>
  <c r="I33" i="6" s="1"/>
  <c r="T48" i="6"/>
  <c r="L48" i="6" s="1"/>
  <c r="T31" i="6"/>
  <c r="L31" i="6" s="1"/>
  <c r="O34" i="6"/>
  <c r="O38" i="6"/>
  <c r="Y52" i="5"/>
  <c r="T30" i="6"/>
  <c r="L30" i="6" s="1"/>
  <c r="O19" i="6"/>
  <c r="O45" i="6"/>
  <c r="O49" i="6"/>
  <c r="V45" i="6"/>
  <c r="AA55" i="5" s="1"/>
  <c r="V12" i="6"/>
  <c r="AA22" i="5" s="1"/>
  <c r="V22" i="5"/>
  <c r="V15" i="6"/>
  <c r="AA25" i="5" s="1"/>
  <c r="V25" i="5"/>
  <c r="V41" i="6"/>
  <c r="AA51" i="5" s="1"/>
  <c r="V51" i="5"/>
  <c r="K32" i="6"/>
  <c r="I32" i="6" s="1"/>
  <c r="X42" i="5"/>
  <c r="V32" i="6"/>
  <c r="AA42" i="5" s="1"/>
  <c r="V42" i="5"/>
  <c r="V29" i="5"/>
  <c r="V30" i="6"/>
  <c r="AA40" i="5" s="1"/>
  <c r="V40" i="5"/>
  <c r="V60" i="5"/>
  <c r="V50" i="6"/>
  <c r="AA60" i="5" s="1"/>
  <c r="V20" i="5"/>
  <c r="V10" i="6"/>
  <c r="AA20" i="5" s="1"/>
  <c r="V38" i="6"/>
  <c r="AA48" i="5" s="1"/>
  <c r="V48" i="5"/>
  <c r="V59" i="5"/>
  <c r="V49" i="6"/>
  <c r="AA59" i="5" s="1"/>
  <c r="V47" i="5"/>
  <c r="V37" i="6"/>
  <c r="AA47" i="5" s="1"/>
  <c r="V50" i="5"/>
  <c r="V40" i="6"/>
  <c r="AA50" i="5" s="1"/>
  <c r="V7" i="6"/>
  <c r="AA17" i="5" s="1"/>
  <c r="V17" i="5"/>
  <c r="V28" i="5"/>
  <c r="V18" i="6"/>
  <c r="AA28" i="5" s="1"/>
  <c r="V16" i="6"/>
  <c r="AA26" i="5" s="1"/>
  <c r="V26" i="5"/>
  <c r="AB16" i="5"/>
  <c r="V57" i="5"/>
  <c r="V47" i="6"/>
  <c r="AA57" i="5" s="1"/>
  <c r="X32" i="5" l="1"/>
  <c r="X45" i="5"/>
  <c r="X31" i="5"/>
  <c r="X27" i="5"/>
  <c r="K34" i="6"/>
  <c r="I34" i="6" s="1"/>
  <c r="W34" i="6" s="1"/>
  <c r="AB44" i="5" s="1"/>
  <c r="K43" i="6"/>
  <c r="I43" i="6" s="1"/>
  <c r="Z43" i="6" s="1"/>
  <c r="X46" i="5"/>
  <c r="K9" i="6"/>
  <c r="I9" i="6" s="1"/>
  <c r="U19" i="5" s="1"/>
  <c r="K28" i="6"/>
  <c r="I28" i="6" s="1"/>
  <c r="W28" i="6" s="1"/>
  <c r="AB38" i="5" s="1"/>
  <c r="Q6" i="6"/>
  <c r="X16" i="5" s="1"/>
  <c r="X39" i="5"/>
  <c r="K45" i="6"/>
  <c r="I45" i="6" s="1"/>
  <c r="Z45" i="6" s="1"/>
  <c r="X21" i="5"/>
  <c r="K42" i="6"/>
  <c r="I42" i="6" s="1"/>
  <c r="U52" i="5" s="1"/>
  <c r="K26" i="6"/>
  <c r="I26" i="6" s="1"/>
  <c r="Z26" i="6" s="1"/>
  <c r="K16" i="6"/>
  <c r="I16" i="6" s="1"/>
  <c r="Z16" i="6" s="1"/>
  <c r="K50" i="6"/>
  <c r="I50" i="6" s="1"/>
  <c r="W50" i="6" s="1"/>
  <c r="AB60" i="5" s="1"/>
  <c r="X17" i="5"/>
  <c r="X40" i="5"/>
  <c r="X23" i="5"/>
  <c r="V36" i="5"/>
  <c r="V27" i="6"/>
  <c r="AA37" i="5" s="1"/>
  <c r="X51" i="5"/>
  <c r="V18" i="5"/>
  <c r="V34" i="6"/>
  <c r="AA44" i="5" s="1"/>
  <c r="V23" i="6"/>
  <c r="AA33" i="5" s="1"/>
  <c r="K31" i="6"/>
  <c r="I31" i="6" s="1"/>
  <c r="W31" i="6" s="1"/>
  <c r="AB41" i="5" s="1"/>
  <c r="V41" i="5"/>
  <c r="X37" i="5"/>
  <c r="K23" i="6"/>
  <c r="I23" i="6" s="1"/>
  <c r="U33" i="5" s="1"/>
  <c r="V58" i="5"/>
  <c r="V36" i="6"/>
  <c r="AA46" i="5" s="1"/>
  <c r="V49" i="5"/>
  <c r="X58" i="5"/>
  <c r="K10" i="6"/>
  <c r="I10" i="6" s="1"/>
  <c r="Z10" i="6" s="1"/>
  <c r="X35" i="5"/>
  <c r="K40" i="6"/>
  <c r="I40" i="6" s="1"/>
  <c r="W40" i="6" s="1"/>
  <c r="AB50" i="5" s="1"/>
  <c r="X43" i="5"/>
  <c r="K12" i="6"/>
  <c r="I12" i="6" s="1"/>
  <c r="U22" i="5" s="1"/>
  <c r="V35" i="6"/>
  <c r="AA45" i="5" s="1"/>
  <c r="V39" i="5"/>
  <c r="X30" i="5"/>
  <c r="V31" i="5"/>
  <c r="V28" i="6"/>
  <c r="AA38" i="5" s="1"/>
  <c r="X54" i="5"/>
  <c r="X29" i="5"/>
  <c r="V19" i="5"/>
  <c r="V24" i="6"/>
  <c r="AA34" i="5" s="1"/>
  <c r="V25" i="6"/>
  <c r="AA35" i="5" s="1"/>
  <c r="K47" i="6"/>
  <c r="I47" i="6" s="1"/>
  <c r="U57" i="5" s="1"/>
  <c r="V30" i="5"/>
  <c r="K37" i="6"/>
  <c r="I37" i="6" s="1"/>
  <c r="U47" i="5" s="1"/>
  <c r="V27" i="5"/>
  <c r="K49" i="6"/>
  <c r="I49" i="6" s="1"/>
  <c r="U59" i="5" s="1"/>
  <c r="K14" i="6"/>
  <c r="I14" i="6" s="1"/>
  <c r="Z14" i="6" s="1"/>
  <c r="V13" i="6"/>
  <c r="AA23" i="5" s="1"/>
  <c r="K15" i="6"/>
  <c r="I15" i="6" s="1"/>
  <c r="W15" i="6" s="1"/>
  <c r="AB25" i="5" s="1"/>
  <c r="V56" i="5"/>
  <c r="X28" i="5"/>
  <c r="X18" i="5"/>
  <c r="V43" i="5"/>
  <c r="V24" i="5"/>
  <c r="V44" i="6"/>
  <c r="AA54" i="5" s="1"/>
  <c r="X48" i="5"/>
  <c r="V16" i="5"/>
  <c r="V32" i="5"/>
  <c r="X49" i="5"/>
  <c r="V52" i="5"/>
  <c r="V43" i="6"/>
  <c r="AA53" i="5" s="1"/>
  <c r="V11" i="6"/>
  <c r="AA21" i="5" s="1"/>
  <c r="V55" i="5"/>
  <c r="K24" i="6"/>
  <c r="I24" i="6" s="1"/>
  <c r="U34" i="5" s="1"/>
  <c r="K46" i="6"/>
  <c r="I46" i="6" s="1"/>
  <c r="U56" i="5" s="1"/>
  <c r="Y16" i="5"/>
  <c r="W39" i="6"/>
  <c r="AB49" i="5" s="1"/>
  <c r="Z39" i="6"/>
  <c r="U49" i="5"/>
  <c r="U43" i="5"/>
  <c r="Z33" i="6"/>
  <c r="W33" i="6"/>
  <c r="AB43" i="5" s="1"/>
  <c r="U51" i="5"/>
  <c r="Z41" i="6"/>
  <c r="W41" i="6"/>
  <c r="AB51" i="5" s="1"/>
  <c r="U23" i="5"/>
  <c r="Z13" i="6"/>
  <c r="W13" i="6"/>
  <c r="AB23" i="5" s="1"/>
  <c r="U31" i="5"/>
  <c r="W21" i="6"/>
  <c r="AB31" i="5" s="1"/>
  <c r="Z21" i="6"/>
  <c r="W32" i="6"/>
  <c r="AB42" i="5" s="1"/>
  <c r="Z32" i="6"/>
  <c r="U42" i="5"/>
  <c r="Z11" i="6"/>
  <c r="U21" i="5"/>
  <c r="W11" i="6"/>
  <c r="AB21" i="5" s="1"/>
  <c r="W19" i="6"/>
  <c r="AB29" i="5" s="1"/>
  <c r="Z19" i="6"/>
  <c r="U29" i="5"/>
  <c r="W25" i="6"/>
  <c r="AB35" i="5" s="1"/>
  <c r="Z25" i="6"/>
  <c r="U35" i="5"/>
  <c r="Z8" i="6"/>
  <c r="U18" i="5"/>
  <c r="W8" i="6"/>
  <c r="AB18" i="5" s="1"/>
  <c r="U45" i="5"/>
  <c r="W35" i="6"/>
  <c r="AB45" i="5" s="1"/>
  <c r="Z35" i="6"/>
  <c r="Z30" i="6"/>
  <c r="W30" i="6"/>
  <c r="AB40" i="5" s="1"/>
  <c r="U40" i="5"/>
  <c r="W22" i="6"/>
  <c r="AB32" i="5" s="1"/>
  <c r="U32" i="5"/>
  <c r="Z22" i="6"/>
  <c r="Z17" i="6"/>
  <c r="U27" i="5"/>
  <c r="W17" i="6"/>
  <c r="AB27" i="5" s="1"/>
  <c r="W38" i="6"/>
  <c r="AB48" i="5" s="1"/>
  <c r="U48" i="5"/>
  <c r="Z38" i="6"/>
  <c r="U30" i="5"/>
  <c r="Z20" i="6"/>
  <c r="W20" i="6"/>
  <c r="AB30" i="5" s="1"/>
  <c r="Z7" i="6"/>
  <c r="U17" i="5"/>
  <c r="W7" i="6"/>
  <c r="W36" i="6"/>
  <c r="AB46" i="5" s="1"/>
  <c r="Z36" i="6"/>
  <c r="U46" i="5"/>
  <c r="U28" i="5"/>
  <c r="Z18" i="6"/>
  <c r="W18" i="6"/>
  <c r="AB28" i="5" s="1"/>
  <c r="W29" i="6"/>
  <c r="AB39" i="5" s="1"/>
  <c r="Z29" i="6"/>
  <c r="U39" i="5"/>
  <c r="U37" i="5"/>
  <c r="Z27" i="6"/>
  <c r="W27" i="6"/>
  <c r="AB37" i="5" s="1"/>
  <c r="W48" i="6"/>
  <c r="AB58" i="5" s="1"/>
  <c r="Z48" i="6"/>
  <c r="U58" i="5"/>
  <c r="U54" i="5"/>
  <c r="Z44" i="6"/>
  <c r="W44" i="6"/>
  <c r="AB54" i="5" s="1"/>
  <c r="Z9" i="6" l="1"/>
  <c r="W43" i="6"/>
  <c r="AB53" i="5" s="1"/>
  <c r="U53" i="5"/>
  <c r="Z34" i="6"/>
  <c r="W9" i="6"/>
  <c r="AB19" i="5" s="1"/>
  <c r="U44" i="5"/>
  <c r="W45" i="6"/>
  <c r="AB55" i="5" s="1"/>
  <c r="U55" i="5"/>
  <c r="W42" i="6"/>
  <c r="AB52" i="5" s="1"/>
  <c r="Z42" i="6"/>
  <c r="U36" i="5"/>
  <c r="W26" i="6"/>
  <c r="AB36" i="5" s="1"/>
  <c r="Z31" i="6"/>
  <c r="U38" i="5"/>
  <c r="K6" i="6"/>
  <c r="I6" i="6" s="1"/>
  <c r="Z6" i="6" s="1"/>
  <c r="Z28" i="6"/>
  <c r="W16" i="6"/>
  <c r="AB26" i="5" s="1"/>
  <c r="Z50" i="6"/>
  <c r="U26" i="5"/>
  <c r="U60" i="5"/>
  <c r="U41" i="5"/>
  <c r="W10" i="6"/>
  <c r="AB20" i="5" s="1"/>
  <c r="U20" i="5"/>
  <c r="U50" i="5"/>
  <c r="W47" i="6"/>
  <c r="AB57" i="5" s="1"/>
  <c r="Z47" i="6"/>
  <c r="Z23" i="6"/>
  <c r="W23" i="6"/>
  <c r="AB33" i="5" s="1"/>
  <c r="Z40" i="6"/>
  <c r="Z46" i="6"/>
  <c r="W12" i="6"/>
  <c r="AB22" i="5" s="1"/>
  <c r="Z12" i="6"/>
  <c r="W46" i="6"/>
  <c r="AB56" i="5" s="1"/>
  <c r="U25" i="5"/>
  <c r="Z24" i="6"/>
  <c r="Z49" i="6"/>
  <c r="W24" i="6"/>
  <c r="AB34" i="5" s="1"/>
  <c r="W49" i="6"/>
  <c r="AB59" i="5" s="1"/>
  <c r="W14" i="6"/>
  <c r="AB24" i="5" s="1"/>
  <c r="W37" i="6"/>
  <c r="AB47" i="5" s="1"/>
  <c r="U24" i="5"/>
  <c r="Z37" i="6"/>
  <c r="Z15" i="6"/>
  <c r="V6" i="6"/>
  <c r="V4" i="6" s="1"/>
  <c r="D24" i="6" s="1"/>
  <c r="L69" i="5" s="1"/>
  <c r="AB17" i="5"/>
  <c r="U16" i="5" l="1"/>
  <c r="Z51" i="6"/>
  <c r="U57" i="6" s="1"/>
  <c r="L72" i="5" s="1"/>
  <c r="AB61" i="5"/>
  <c r="W4" i="6"/>
  <c r="AA16" i="5"/>
  <c r="AA61" i="5" s="1"/>
  <c r="Z54" i="6" l="1"/>
  <c r="AG66" i="15" a="1"/>
  <c r="AI66" i="15" s="1"/>
  <c r="AH66" i="15" l="1"/>
  <c r="AG66" i="15"/>
  <c r="AD73" i="15" l="1"/>
  <c r="AG69" i="15" s="1"/>
  <c r="AQ74" i="15" s="1"/>
  <c r="AQ139" i="15" s="1"/>
  <c r="I56" i="5" s="1"/>
  <c r="AM74" i="15"/>
  <c r="AM139" i="15" s="1"/>
  <c r="E56" i="5" s="1"/>
  <c r="AN74" i="15"/>
  <c r="AN139" i="15" s="1"/>
  <c r="F56" i="5" s="1"/>
  <c r="AL74" i="15"/>
  <c r="AR74" i="15"/>
  <c r="AR139" i="15" s="1"/>
  <c r="J56" i="5" s="1"/>
  <c r="AS74" i="15"/>
  <c r="AS139" i="15" s="1"/>
  <c r="K56" i="5" s="1"/>
  <c r="AU139" i="15"/>
  <c r="M56" i="5" s="1"/>
  <c r="AO74" i="15" l="1"/>
  <c r="AO139" i="15" s="1"/>
  <c r="G56" i="5" s="1"/>
  <c r="AP74" i="15"/>
  <c r="AP139" i="15" s="1"/>
  <c r="H56" i="5" s="1"/>
  <c r="AL139" i="15"/>
  <c r="D56" i="5" s="1"/>
  <c r="AU74" i="15"/>
  <c r="AE124" i="15" s="1"/>
  <c r="AE126" i="15" s="1"/>
  <c r="AT74" i="15"/>
  <c r="AT139" i="15" s="1"/>
  <c r="L56" i="5" s="1"/>
  <c r="AE127" i="15" l="1"/>
  <c r="AE128" i="15" s="1"/>
  <c r="AE131" i="15" s="1"/>
  <c r="AU141" i="15" l="1"/>
  <c r="M58" i="5" s="1"/>
  <c r="AS122" i="15"/>
  <c r="AS141" i="15" s="1"/>
  <c r="K58" i="5" s="1"/>
  <c r="AP122" i="15"/>
  <c r="AP141" i="15" s="1"/>
  <c r="H58" i="5" s="1"/>
  <c r="AN122" i="15"/>
  <c r="AN141" i="15" s="1"/>
  <c r="F58" i="5" s="1"/>
  <c r="AM122" i="15"/>
  <c r="AM141" i="15" s="1"/>
  <c r="E58" i="5" s="1"/>
  <c r="AR122" i="15"/>
  <c r="AR141" i="15" s="1"/>
  <c r="J58" i="5" s="1"/>
  <c r="AO122" i="15"/>
  <c r="AO141" i="15" s="1"/>
  <c r="G58" i="5" s="1"/>
  <c r="AL122" i="15"/>
  <c r="AQ122" i="15"/>
  <c r="AQ141" i="15" s="1"/>
  <c r="I58" i="5" s="1"/>
  <c r="AL141" i="15" l="1"/>
  <c r="D58" i="5" s="1"/>
  <c r="AU122" i="15"/>
  <c r="AT122" i="15"/>
  <c r="AT141" i="15" s="1"/>
  <c r="L58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<sst xmlns="http://schemas.openxmlformats.org/spreadsheetml/2006/main" count="1511" uniqueCount="495">
  <si>
    <t>Tulopuoli</t>
  </si>
  <si>
    <t>SFP</t>
  </si>
  <si>
    <t>Poistopuoli</t>
  </si>
  <si>
    <t>W</t>
  </si>
  <si>
    <t>Tulo</t>
  </si>
  <si>
    <t>D</t>
  </si>
  <si>
    <t>A</t>
  </si>
  <si>
    <t>B</t>
  </si>
  <si>
    <t>C</t>
  </si>
  <si>
    <t>Poisto</t>
  </si>
  <si>
    <t>l/s</t>
  </si>
  <si>
    <t>Pa</t>
  </si>
  <si>
    <t>V</t>
  </si>
  <si>
    <t>x</t>
  </si>
  <si>
    <t>Ohjausjännite</t>
  </si>
  <si>
    <t>Ilman tilavuusvirta</t>
  </si>
  <si>
    <t>Paine-ero</t>
  </si>
  <si>
    <t>Puhaltimen teho</t>
  </si>
  <si>
    <t>Kokonaisteho</t>
  </si>
  <si>
    <t>SEC-luku</t>
  </si>
  <si>
    <t>pef</t>
  </si>
  <si>
    <t>MISC</t>
  </si>
  <si>
    <t>CTRL</t>
  </si>
  <si>
    <t>Qdefr</t>
  </si>
  <si>
    <r>
      <t>t</t>
    </r>
    <r>
      <rPr>
        <vertAlign val="subscript"/>
        <sz val="10"/>
        <color theme="1"/>
        <rFont val="Century Gothic"/>
        <family val="2"/>
      </rPr>
      <t>a</t>
    </r>
  </si>
  <si>
    <r>
      <t>q</t>
    </r>
    <r>
      <rPr>
        <vertAlign val="subscript"/>
        <sz val="10"/>
        <color theme="1"/>
        <rFont val="Century Gothic"/>
        <family val="2"/>
      </rPr>
      <t>net</t>
    </r>
  </si>
  <si>
    <r>
      <t>t</t>
    </r>
    <r>
      <rPr>
        <vertAlign val="subscript"/>
        <sz val="10"/>
        <color theme="1"/>
        <rFont val="Century Gothic"/>
        <family val="2"/>
      </rPr>
      <t>h</t>
    </r>
  </si>
  <si>
    <r>
      <t>ΔT</t>
    </r>
    <r>
      <rPr>
        <vertAlign val="subscript"/>
        <sz val="10"/>
        <color theme="1"/>
        <rFont val="Century Gothic"/>
        <family val="2"/>
      </rPr>
      <t>h</t>
    </r>
  </si>
  <si>
    <r>
      <t>η</t>
    </r>
    <r>
      <rPr>
        <vertAlign val="subscript"/>
        <sz val="10"/>
        <color theme="1"/>
        <rFont val="Century Gothic"/>
        <family val="2"/>
      </rPr>
      <t>h</t>
    </r>
  </si>
  <si>
    <r>
      <t>c</t>
    </r>
    <r>
      <rPr>
        <vertAlign val="subscript"/>
        <sz val="10"/>
        <color theme="1"/>
        <rFont val="Century Gothic"/>
        <family val="2"/>
      </rPr>
      <t>air</t>
    </r>
  </si>
  <si>
    <r>
      <t>q</t>
    </r>
    <r>
      <rPr>
        <vertAlign val="subscript"/>
        <sz val="10"/>
        <color theme="1"/>
        <rFont val="Century Gothic"/>
        <family val="2"/>
      </rPr>
      <t>ref</t>
    </r>
  </si>
  <si>
    <r>
      <t>η</t>
    </r>
    <r>
      <rPr>
        <vertAlign val="subscript"/>
        <sz val="10"/>
        <color theme="1"/>
        <rFont val="Century Gothic"/>
        <family val="2"/>
      </rPr>
      <t>t</t>
    </r>
  </si>
  <si>
    <r>
      <t>Q</t>
    </r>
    <r>
      <rPr>
        <vertAlign val="subscript"/>
        <sz val="10"/>
        <color theme="1"/>
        <rFont val="Century Gothic"/>
        <family val="2"/>
      </rPr>
      <t>defr</t>
    </r>
  </si>
  <si>
    <t>moottori &amp; ohjaus</t>
  </si>
  <si>
    <t>ilmanvaihdon ohjaus</t>
  </si>
  <si>
    <t>Kylmä</t>
  </si>
  <si>
    <t>Keskiarvo</t>
  </si>
  <si>
    <t>Lämmin</t>
  </si>
  <si>
    <t>tdefr</t>
  </si>
  <si>
    <t>Δtdefr</t>
  </si>
  <si>
    <t>SPI</t>
  </si>
  <si>
    <t>kW/m3/h</t>
  </si>
  <si>
    <t>Puhaltimien toiminta:</t>
  </si>
  <si>
    <t>SEC</t>
  </si>
  <si>
    <t>SEC-luokka</t>
  </si>
  <si>
    <t>SEC-laskennan parametrit</t>
  </si>
  <si>
    <t>Yleinen luokittelu</t>
  </si>
  <si>
    <t>Ilmanvaihdon ohjaus</t>
  </si>
  <si>
    <t>Moottori &amp; ohjaus</t>
  </si>
  <si>
    <t>Ilmasto</t>
  </si>
  <si>
    <r>
      <t>LTO:n lämpötilahyötysuhde η</t>
    </r>
    <r>
      <rPr>
        <vertAlign val="subscript"/>
        <sz val="10"/>
        <color theme="1"/>
        <rFont val="Century Gothic"/>
        <family val="2"/>
      </rPr>
      <t>t</t>
    </r>
  </si>
  <si>
    <t>Kanavaliitäntäinen</t>
  </si>
  <si>
    <t>Muu kuin kanavaliitäntäinen</t>
  </si>
  <si>
    <t>Yleinen luokitus</t>
  </si>
  <si>
    <r>
      <t>t</t>
    </r>
    <r>
      <rPr>
        <b/>
        <vertAlign val="subscript"/>
        <sz val="10"/>
        <color theme="1"/>
        <rFont val="Century Gothic"/>
        <family val="2"/>
      </rPr>
      <t>h</t>
    </r>
  </si>
  <si>
    <r>
      <t>ΔT</t>
    </r>
    <r>
      <rPr>
        <b/>
        <vertAlign val="subscript"/>
        <sz val="10"/>
        <color theme="1"/>
        <rFont val="Century Gothic"/>
        <family val="2"/>
      </rPr>
      <t>h</t>
    </r>
  </si>
  <si>
    <t>Käsikäyttö (ei tarpeenmuk. Ilmanvaihto)</t>
  </si>
  <si>
    <t>Kello-ohjaus (ei tarpeenmuk. Ilmanvaihto)</t>
  </si>
  <si>
    <t>Paikallinen tarpeenmukainen ohjaus</t>
  </si>
  <si>
    <t>Keskitetty tarpeenmukainen ohjaus</t>
  </si>
  <si>
    <t>Päällä/pois päältä &amp; yksinopeuksinen</t>
  </si>
  <si>
    <t>Kaksinopeuksinen</t>
  </si>
  <si>
    <t>Kolminopeuksinen</t>
  </si>
  <si>
    <t>Portaaton säätö (taajuusmuuttaja)</t>
  </si>
  <si>
    <t>x-arvo</t>
  </si>
  <si>
    <t>A+</t>
  </si>
  <si>
    <t>E</t>
  </si>
  <si>
    <t>F</t>
  </si>
  <si>
    <t>G</t>
  </si>
  <si>
    <t>Vertailuarvo</t>
  </si>
  <si>
    <r>
      <t>kW/m</t>
    </r>
    <r>
      <rPr>
        <vertAlign val="superscript"/>
        <sz val="10"/>
        <color theme="1"/>
        <rFont val="Century Gothic"/>
        <family val="2"/>
      </rPr>
      <t>3</t>
    </r>
    <r>
      <rPr>
        <sz val="10"/>
        <color theme="1"/>
        <rFont val="Century Gothic"/>
        <family val="2"/>
      </rPr>
      <t>/s</t>
    </r>
  </si>
  <si>
    <t>Älä muuta tähän</t>
  </si>
  <si>
    <t>Ilman tilavuusvirta (syötä arvot)</t>
  </si>
  <si>
    <t>Paine-ero (syötä arvot)</t>
  </si>
  <si>
    <t>Hakee arvot tulostus-välilehdeltä.</t>
  </si>
  <si>
    <t>Älä muuta tästä!</t>
  </si>
  <si>
    <t>Total</t>
  </si>
  <si>
    <t>30v pysyvyysarvot</t>
  </si>
  <si>
    <t>Sisälämpötila</t>
  </si>
  <si>
    <t>°C</t>
  </si>
  <si>
    <r>
      <t>t</t>
    </r>
    <r>
      <rPr>
        <b/>
        <vertAlign val="subscript"/>
        <sz val="10"/>
        <color theme="1"/>
        <rFont val="Century Gothic"/>
        <family val="2"/>
      </rPr>
      <t>u</t>
    </r>
  </si>
  <si>
    <t>Aika vuodessa</t>
  </si>
  <si>
    <r>
      <t>t</t>
    </r>
    <r>
      <rPr>
        <b/>
        <vertAlign val="subscript"/>
        <sz val="10"/>
        <color theme="1"/>
        <rFont val="Century Gothic"/>
        <family val="2"/>
      </rPr>
      <t>LTO,maks</t>
    </r>
  </si>
  <si>
    <r>
      <t>t</t>
    </r>
    <r>
      <rPr>
        <b/>
        <vertAlign val="subscript"/>
        <sz val="10"/>
        <color theme="1"/>
        <rFont val="Century Gothic"/>
        <family val="2"/>
      </rPr>
      <t>j</t>
    </r>
  </si>
  <si>
    <r>
      <t>t</t>
    </r>
    <r>
      <rPr>
        <b/>
        <vertAlign val="subscript"/>
        <sz val="10"/>
        <color theme="1"/>
        <rFont val="Century Gothic"/>
        <family val="2"/>
      </rPr>
      <t>j,min</t>
    </r>
  </si>
  <si>
    <r>
      <t>t</t>
    </r>
    <r>
      <rPr>
        <b/>
        <vertAlign val="subscript"/>
        <sz val="10"/>
        <color theme="1"/>
        <rFont val="Century Gothic"/>
        <family val="2"/>
      </rPr>
      <t>j,maks</t>
    </r>
  </si>
  <si>
    <r>
      <t>t</t>
    </r>
    <r>
      <rPr>
        <b/>
        <vertAlign val="subscript"/>
        <sz val="10"/>
        <color theme="1"/>
        <rFont val="Century Gothic"/>
        <family val="2"/>
      </rPr>
      <t>j, korjaamaton</t>
    </r>
  </si>
  <si>
    <r>
      <t>t</t>
    </r>
    <r>
      <rPr>
        <b/>
        <vertAlign val="subscript"/>
        <sz val="10"/>
        <color theme="1"/>
        <rFont val="Century Gothic"/>
        <family val="2"/>
      </rPr>
      <t>sisä</t>
    </r>
  </si>
  <si>
    <r>
      <t>t</t>
    </r>
    <r>
      <rPr>
        <b/>
        <vertAlign val="subscript"/>
        <sz val="10"/>
        <color theme="1"/>
        <rFont val="Century Gothic"/>
        <family val="2"/>
      </rPr>
      <t>LTO</t>
    </r>
  </si>
  <si>
    <r>
      <t>t</t>
    </r>
    <r>
      <rPr>
        <b/>
        <vertAlign val="subscript"/>
        <sz val="10"/>
        <color theme="1"/>
        <rFont val="Century Gothic"/>
        <family val="2"/>
      </rPr>
      <t>LTO, korjaamaton</t>
    </r>
  </si>
  <si>
    <r>
      <t>R</t>
    </r>
    <r>
      <rPr>
        <b/>
        <vertAlign val="subscript"/>
        <sz val="10"/>
        <color theme="1"/>
        <rFont val="Century Gothic"/>
        <family val="2"/>
      </rPr>
      <t>LTO</t>
    </r>
  </si>
  <si>
    <r>
      <t>η</t>
    </r>
    <r>
      <rPr>
        <b/>
        <vertAlign val="subscript"/>
        <sz val="10"/>
        <color theme="1"/>
        <rFont val="Century Gothic"/>
        <family val="2"/>
      </rPr>
      <t>t</t>
    </r>
  </si>
  <si>
    <r>
      <t>η</t>
    </r>
    <r>
      <rPr>
        <b/>
        <vertAlign val="subscript"/>
        <sz val="10"/>
        <color theme="1"/>
        <rFont val="Century Gothic"/>
        <family val="2"/>
      </rPr>
      <t>p</t>
    </r>
  </si>
  <si>
    <r>
      <t>η</t>
    </r>
    <r>
      <rPr>
        <b/>
        <vertAlign val="subscript"/>
        <sz val="10"/>
        <color theme="1"/>
        <rFont val="Century Gothic"/>
        <family val="2"/>
      </rPr>
      <t>t, korjaamaton</t>
    </r>
  </si>
  <si>
    <r>
      <t>η</t>
    </r>
    <r>
      <rPr>
        <b/>
        <vertAlign val="subscript"/>
        <sz val="10"/>
        <color theme="1"/>
        <rFont val="Century Gothic"/>
        <family val="2"/>
      </rPr>
      <t>p,korjaamaton</t>
    </r>
  </si>
  <si>
    <r>
      <t>S</t>
    </r>
    <r>
      <rPr>
        <b/>
        <vertAlign val="subscript"/>
        <sz val="10"/>
        <color theme="1"/>
        <rFont val="Century Gothic"/>
        <family val="2"/>
      </rPr>
      <t>S,Kd</t>
    </r>
  </si>
  <si>
    <r>
      <t>S</t>
    </r>
    <r>
      <rPr>
        <b/>
        <vertAlign val="subscript"/>
        <sz val="10"/>
        <color theme="1"/>
        <rFont val="Century Gothic"/>
        <family val="2"/>
      </rPr>
      <t>T,Kd</t>
    </r>
  </si>
  <si>
    <r>
      <t>S</t>
    </r>
    <r>
      <rPr>
        <b/>
        <vertAlign val="subscript"/>
        <sz val="10"/>
        <color theme="1"/>
        <rFont val="Century Gothic"/>
        <family val="2"/>
      </rPr>
      <t>J,Kd</t>
    </r>
  </si>
  <si>
    <t>Vyöhykkeet</t>
  </si>
  <si>
    <t>Tuloilmamäärä</t>
  </si>
  <si>
    <t>III</t>
  </si>
  <si>
    <t>IV</t>
  </si>
  <si>
    <t>Poistoilmamäärä</t>
  </si>
  <si>
    <r>
      <t>R</t>
    </r>
    <r>
      <rPr>
        <vertAlign val="subscript"/>
        <sz val="10"/>
        <color theme="1"/>
        <rFont val="Century Gothic"/>
        <family val="2"/>
      </rPr>
      <t>LTO</t>
    </r>
  </si>
  <si>
    <t>nLTO 1</t>
  </si>
  <si>
    <t>nLTO, RT</t>
  </si>
  <si>
    <t>Minimi jäteilma</t>
  </si>
  <si>
    <t>Maksimi tLTO</t>
  </si>
  <si>
    <t>Vyöhyke</t>
  </si>
  <si>
    <t>Pysyvyystiedot</t>
  </si>
  <si>
    <t>Muut poistoilmavirrat ei LTO:n kautta</t>
  </si>
  <si>
    <t>Käyttöaika / vrk</t>
  </si>
  <si>
    <t>h</t>
  </si>
  <si>
    <t>Poistoilma, kaikki</t>
  </si>
  <si>
    <r>
      <t>Koko IV:n R</t>
    </r>
    <r>
      <rPr>
        <vertAlign val="subscript"/>
        <sz val="10"/>
        <color theme="1"/>
        <rFont val="Century Gothic"/>
        <family val="2"/>
      </rPr>
      <t>T</t>
    </r>
  </si>
  <si>
    <t>Mitoittava ulkoLT</t>
  </si>
  <si>
    <t>Tuloilman LT, mit.</t>
  </si>
  <si>
    <t>VUOSIHYÖTYSUHDE</t>
  </si>
  <si>
    <t>kWh</t>
  </si>
  <si>
    <t>Poistoilman lämmöntalteenoton vuosihyötysuhteen laskenta</t>
  </si>
  <si>
    <t>YM monisteen 122 mukaisesti</t>
  </si>
  <si>
    <r>
      <t>Minimi jäteilman lämpötila t</t>
    </r>
    <r>
      <rPr>
        <vertAlign val="subscript"/>
        <sz val="10"/>
        <color theme="1"/>
        <rFont val="Century Gothic"/>
        <family val="2"/>
      </rPr>
      <t>j,min</t>
    </r>
  </si>
  <si>
    <r>
      <t>dm</t>
    </r>
    <r>
      <rPr>
        <vertAlign val="superscript"/>
        <sz val="10"/>
        <color theme="1"/>
        <rFont val="Century Gothic"/>
        <family val="2"/>
      </rPr>
      <t>3</t>
    </r>
    <r>
      <rPr>
        <sz val="10"/>
        <color theme="1"/>
        <rFont val="Century Gothic"/>
        <family val="2"/>
      </rPr>
      <t>/s</t>
    </r>
  </si>
  <si>
    <t>h/vrk</t>
  </si>
  <si>
    <t>Säävyöhyke</t>
  </si>
  <si>
    <t>II (Jokioinen)</t>
  </si>
  <si>
    <t>III (Jyväskylä)</t>
  </si>
  <si>
    <t>IV (Sodankylä)</t>
  </si>
  <si>
    <t>30 vuoden pysyvyysarvot</t>
  </si>
  <si>
    <t>Jälkilämmityspatterin tehontarve mitoitusolosuhteissa</t>
  </si>
  <si>
    <t>Ilmanvaihdon kokonaisenergiantarve</t>
  </si>
  <si>
    <t>Talteenotettu lämmitysenergia</t>
  </si>
  <si>
    <r>
      <t>Vuosihyötysuhde η</t>
    </r>
    <r>
      <rPr>
        <b/>
        <vertAlign val="subscript"/>
        <sz val="11"/>
        <color theme="1"/>
        <rFont val="Century Gothic"/>
        <family val="2"/>
      </rPr>
      <t>a</t>
    </r>
  </si>
  <si>
    <t>Aika</t>
  </si>
  <si>
    <t>Ulkoilman lämpötila [°C]</t>
  </si>
  <si>
    <t>Sisäilman lämpötila (= poistoilman lämpötila) [°C]</t>
  </si>
  <si>
    <t>Jäteilman lämpötila (= poistoilman lämpötila LTO:n jälkeen) [°C]</t>
  </si>
  <si>
    <t>LTO:n läpi kulkevan tulo- ja poistoilmavirran suhde</t>
  </si>
  <si>
    <t>LTO:n tuloilman lämpötilahyötysuhde [%]</t>
  </si>
  <si>
    <t>LTO:n poistoilman lämpötilahyötysuhde [%]</t>
  </si>
  <si>
    <t>Käytetyt lyhenteet:</t>
  </si>
  <si>
    <t>Poistoilman lämmöntalteenoton vuosihyötysuhteen laskentatulokset taulukkomuodossa</t>
  </si>
  <si>
    <t>YHTEENSÄ</t>
  </si>
  <si>
    <r>
      <t>t</t>
    </r>
    <r>
      <rPr>
        <b/>
        <vertAlign val="subscript"/>
        <sz val="9"/>
        <color theme="1"/>
        <rFont val="Century Gothic"/>
        <family val="2"/>
      </rPr>
      <t>sisä</t>
    </r>
  </si>
  <si>
    <r>
      <t>t</t>
    </r>
    <r>
      <rPr>
        <b/>
        <vertAlign val="subscript"/>
        <sz val="9"/>
        <color theme="1"/>
        <rFont val="Century Gothic"/>
        <family val="2"/>
      </rPr>
      <t>LTO</t>
    </r>
  </si>
  <si>
    <r>
      <t>R</t>
    </r>
    <r>
      <rPr>
        <b/>
        <vertAlign val="subscript"/>
        <sz val="9"/>
        <color theme="1"/>
        <rFont val="Century Gothic"/>
        <family val="2"/>
      </rPr>
      <t>LTO</t>
    </r>
  </si>
  <si>
    <r>
      <t>η</t>
    </r>
    <r>
      <rPr>
        <b/>
        <vertAlign val="subscript"/>
        <sz val="9"/>
        <color theme="1"/>
        <rFont val="Century Gothic"/>
        <family val="2"/>
      </rPr>
      <t>t</t>
    </r>
  </si>
  <si>
    <r>
      <t>η</t>
    </r>
    <r>
      <rPr>
        <b/>
        <vertAlign val="subscript"/>
        <sz val="9"/>
        <color theme="1"/>
        <rFont val="Century Gothic"/>
        <family val="2"/>
      </rPr>
      <t>p</t>
    </r>
  </si>
  <si>
    <r>
      <t>S</t>
    </r>
    <r>
      <rPr>
        <b/>
        <vertAlign val="subscript"/>
        <sz val="9"/>
        <color theme="1"/>
        <rFont val="Century Gothic"/>
        <family val="2"/>
      </rPr>
      <t>S,Kd</t>
    </r>
  </si>
  <si>
    <r>
      <t>S</t>
    </r>
    <r>
      <rPr>
        <b/>
        <vertAlign val="subscript"/>
        <sz val="9"/>
        <color theme="1"/>
        <rFont val="Century Gothic"/>
        <family val="2"/>
      </rPr>
      <t>T,Kd</t>
    </r>
  </si>
  <si>
    <r>
      <t>S</t>
    </r>
    <r>
      <rPr>
        <b/>
        <vertAlign val="subscript"/>
        <sz val="9"/>
        <color theme="1"/>
        <rFont val="Century Gothic"/>
        <family val="2"/>
      </rPr>
      <t>J,Kd</t>
    </r>
  </si>
  <si>
    <r>
      <t>t</t>
    </r>
    <r>
      <rPr>
        <b/>
        <vertAlign val="subscript"/>
        <sz val="10"/>
        <color theme="1"/>
        <rFont val="Century Gothic"/>
        <family val="2"/>
      </rPr>
      <t>jäte</t>
    </r>
  </si>
  <si>
    <r>
      <t>t</t>
    </r>
    <r>
      <rPr>
        <b/>
        <vertAlign val="subscript"/>
        <sz val="10"/>
        <color theme="1"/>
        <rFont val="Century Gothic"/>
        <family val="2"/>
      </rPr>
      <t>ulko</t>
    </r>
  </si>
  <si>
    <r>
      <t>t</t>
    </r>
    <r>
      <rPr>
        <b/>
        <vertAlign val="subscript"/>
        <sz val="9"/>
        <color theme="1"/>
        <rFont val="Century Gothic"/>
        <family val="2"/>
      </rPr>
      <t>ulko</t>
    </r>
  </si>
  <si>
    <r>
      <t>t</t>
    </r>
    <r>
      <rPr>
        <b/>
        <vertAlign val="subscript"/>
        <sz val="9"/>
        <color theme="1"/>
        <rFont val="Century Gothic"/>
        <family val="2"/>
      </rPr>
      <t>jäte</t>
    </r>
  </si>
  <si>
    <r>
      <t>Sisäilman lämpötilan t</t>
    </r>
    <r>
      <rPr>
        <vertAlign val="subscript"/>
        <sz val="9"/>
        <color theme="1"/>
        <rFont val="Century Gothic"/>
        <family val="2"/>
      </rPr>
      <t>sisä</t>
    </r>
    <r>
      <rPr>
        <sz val="9"/>
        <color theme="1"/>
        <rFont val="Century Gothic"/>
        <family val="2"/>
      </rPr>
      <t xml:space="preserve"> ja ulkoilman lämpötilan t</t>
    </r>
    <r>
      <rPr>
        <vertAlign val="subscript"/>
        <sz val="9"/>
        <color theme="1"/>
        <rFont val="Century Gothic"/>
        <family val="2"/>
      </rPr>
      <t>ulko</t>
    </r>
    <r>
      <rPr>
        <sz val="9"/>
        <color theme="1"/>
        <rFont val="Century Gothic"/>
        <family val="2"/>
      </rPr>
      <t xml:space="preserve"> välinen lämmöntarveluku [Kd]</t>
    </r>
  </si>
  <si>
    <r>
      <t>Tuloilman lämpötilan t</t>
    </r>
    <r>
      <rPr>
        <vertAlign val="subscript"/>
        <sz val="9"/>
        <color theme="1"/>
        <rFont val="Century Gothic"/>
        <family val="2"/>
      </rPr>
      <t>LTO</t>
    </r>
    <r>
      <rPr>
        <sz val="9"/>
        <color theme="1"/>
        <rFont val="Century Gothic"/>
        <family val="2"/>
      </rPr>
      <t xml:space="preserve"> ja ulkoilman lämpötilan t</t>
    </r>
    <r>
      <rPr>
        <vertAlign val="subscript"/>
        <sz val="9"/>
        <color theme="1"/>
        <rFont val="Century Gothic"/>
        <family val="2"/>
      </rPr>
      <t>ulko</t>
    </r>
    <r>
      <rPr>
        <sz val="9"/>
        <color theme="1"/>
        <rFont val="Century Gothic"/>
        <family val="2"/>
      </rPr>
      <t xml:space="preserve"> välinen lämmöntarveluku [Kd]</t>
    </r>
  </si>
  <si>
    <r>
      <t>Jäteilman lämpötilan t</t>
    </r>
    <r>
      <rPr>
        <vertAlign val="subscript"/>
        <sz val="9"/>
        <color theme="1"/>
        <rFont val="Century Gothic"/>
        <family val="2"/>
      </rPr>
      <t>jäte</t>
    </r>
    <r>
      <rPr>
        <sz val="9"/>
        <color theme="1"/>
        <rFont val="Century Gothic"/>
        <family val="2"/>
      </rPr>
      <t xml:space="preserve"> ja sisäilman lämpötilan t</t>
    </r>
    <r>
      <rPr>
        <vertAlign val="subscript"/>
        <sz val="9"/>
        <color theme="1"/>
        <rFont val="Century Gothic"/>
        <family val="2"/>
      </rPr>
      <t>sisä</t>
    </r>
    <r>
      <rPr>
        <sz val="9"/>
        <color theme="1"/>
        <rFont val="Century Gothic"/>
        <family val="2"/>
      </rPr>
      <t xml:space="preserve"> välinen lämmöntarveluku [Kd]</t>
    </r>
  </si>
  <si>
    <r>
      <t>LTO-vaatimuksen piiriin kuuluva erillispoistoilmavirta q</t>
    </r>
    <r>
      <rPr>
        <vertAlign val="subscript"/>
        <sz val="10"/>
        <color theme="1"/>
        <rFont val="Century Gothic"/>
        <family val="2"/>
      </rPr>
      <t>ep1</t>
    </r>
    <r>
      <rPr>
        <sz val="10"/>
        <color theme="1"/>
        <rFont val="Century Gothic"/>
        <family val="2"/>
      </rPr>
      <t xml:space="preserve"> (syötä arvo)</t>
    </r>
  </si>
  <si>
    <r>
      <t>Erillispoistoilmavirran käyttöaika T</t>
    </r>
    <r>
      <rPr>
        <vertAlign val="subscript"/>
        <sz val="10"/>
        <color theme="1"/>
        <rFont val="Century Gothic"/>
        <family val="2"/>
      </rPr>
      <t>qep1</t>
    </r>
    <r>
      <rPr>
        <sz val="10"/>
        <color theme="1"/>
        <rFont val="Century Gothic"/>
        <family val="2"/>
      </rPr>
      <t xml:space="preserve"> (syötä arvo)</t>
    </r>
  </si>
  <si>
    <r>
      <t>Sisälämpötila t</t>
    </r>
    <r>
      <rPr>
        <vertAlign val="subscript"/>
        <sz val="10"/>
        <color theme="1"/>
        <rFont val="Century Gothic"/>
        <family val="2"/>
      </rPr>
      <t>s</t>
    </r>
    <r>
      <rPr>
        <sz val="10"/>
        <color theme="1"/>
        <rFont val="Century Gothic"/>
        <family val="2"/>
      </rPr>
      <t xml:space="preserve"> (syötä arvo)</t>
    </r>
  </si>
  <si>
    <r>
      <t>Maksimi tuloilman lämpötila t</t>
    </r>
    <r>
      <rPr>
        <vertAlign val="subscript"/>
        <sz val="10"/>
        <color theme="1"/>
        <rFont val="Century Gothic"/>
        <family val="2"/>
      </rPr>
      <t>t,max</t>
    </r>
    <r>
      <rPr>
        <sz val="10"/>
        <color theme="1"/>
        <rFont val="Century Gothic"/>
        <family val="2"/>
      </rPr>
      <t xml:space="preserve"> (syötä arvo)</t>
    </r>
  </si>
  <si>
    <t>63 Hz</t>
  </si>
  <si>
    <t>125 Hz</t>
  </si>
  <si>
    <t>250 Hz</t>
  </si>
  <si>
    <t>500 Hz</t>
  </si>
  <si>
    <t>1 kHz</t>
  </si>
  <si>
    <t>2 kHz</t>
  </si>
  <si>
    <t>4 kHz</t>
  </si>
  <si>
    <t>8 kHz</t>
  </si>
  <si>
    <t>2 V</t>
  </si>
  <si>
    <t>4 V</t>
  </si>
  <si>
    <t>6 V</t>
  </si>
  <si>
    <t>10 V</t>
  </si>
  <si>
    <r>
      <t>P</t>
    </r>
    <r>
      <rPr>
        <b/>
        <vertAlign val="superscript"/>
        <sz val="10"/>
        <rFont val="Century Gothic"/>
        <family val="2"/>
      </rPr>
      <t>*</t>
    </r>
    <r>
      <rPr>
        <b/>
        <sz val="10"/>
        <rFont val="Century Gothic"/>
        <family val="2"/>
      </rPr>
      <t xml:space="preserve">
[W]</t>
    </r>
  </si>
  <si>
    <r>
      <t>Äänitehotasot oktaavikaistoittain L</t>
    </r>
    <r>
      <rPr>
        <b/>
        <vertAlign val="subscript"/>
        <sz val="10"/>
        <rFont val="Century Gothic"/>
        <family val="2"/>
      </rPr>
      <t>W,okt</t>
    </r>
    <r>
      <rPr>
        <b/>
        <sz val="10"/>
        <rFont val="Century Gothic"/>
        <family val="2"/>
      </rPr>
      <t xml:space="preserve"> [dB]</t>
    </r>
  </si>
  <si>
    <r>
      <t>L</t>
    </r>
    <r>
      <rPr>
        <b/>
        <vertAlign val="subscript"/>
        <sz val="10"/>
        <rFont val="Century Gothic"/>
        <family val="2"/>
      </rPr>
      <t>W,kok</t>
    </r>
    <r>
      <rPr>
        <b/>
        <vertAlign val="superscript"/>
        <sz val="10"/>
        <rFont val="Century Gothic"/>
        <family val="2"/>
      </rPr>
      <t>**</t>
    </r>
    <r>
      <rPr>
        <b/>
        <vertAlign val="subscript"/>
        <sz val="10"/>
        <rFont val="Century Gothic"/>
        <family val="2"/>
      </rPr>
      <t xml:space="preserve">
</t>
    </r>
    <r>
      <rPr>
        <b/>
        <sz val="10"/>
        <rFont val="Century Gothic"/>
        <family val="2"/>
      </rPr>
      <t>[dB]</t>
    </r>
  </si>
  <si>
    <r>
      <t>L</t>
    </r>
    <r>
      <rPr>
        <b/>
        <vertAlign val="subscript"/>
        <sz val="10"/>
        <rFont val="Century Gothic"/>
        <family val="2"/>
      </rPr>
      <t>W,A,kok</t>
    </r>
    <r>
      <rPr>
        <b/>
        <vertAlign val="superscript"/>
        <sz val="10"/>
        <rFont val="Century Gothic"/>
        <family val="2"/>
      </rPr>
      <t>**</t>
    </r>
    <r>
      <rPr>
        <b/>
        <vertAlign val="subscript"/>
        <sz val="10"/>
        <rFont val="Century Gothic"/>
        <family val="2"/>
      </rPr>
      <t xml:space="preserve">
</t>
    </r>
    <r>
      <rPr>
        <b/>
        <sz val="10"/>
        <rFont val="Century Gothic"/>
        <family val="2"/>
      </rPr>
      <t>[dB]</t>
    </r>
  </si>
  <si>
    <r>
      <t>U</t>
    </r>
    <r>
      <rPr>
        <b/>
        <vertAlign val="subscript"/>
        <sz val="10"/>
        <rFont val="Century Gothic"/>
        <family val="2"/>
      </rPr>
      <t xml:space="preserve">ohj
</t>
    </r>
    <r>
      <rPr>
        <b/>
        <sz val="10"/>
        <rFont val="Century Gothic"/>
        <family val="2"/>
      </rPr>
      <t>[V]</t>
    </r>
  </si>
  <si>
    <r>
      <t>q</t>
    </r>
    <r>
      <rPr>
        <b/>
        <vertAlign val="subscript"/>
        <sz val="10"/>
        <rFont val="Century Gothic"/>
        <family val="2"/>
      </rPr>
      <t>V</t>
    </r>
    <r>
      <rPr>
        <b/>
        <sz val="10"/>
        <rFont val="Century Gothic"/>
        <family val="2"/>
      </rPr>
      <t xml:space="preserve">
[dm</t>
    </r>
    <r>
      <rPr>
        <b/>
        <vertAlign val="superscript"/>
        <sz val="10"/>
        <rFont val="Century Gothic"/>
        <family val="2"/>
      </rPr>
      <t>3</t>
    </r>
    <r>
      <rPr>
        <b/>
        <sz val="10"/>
        <rFont val="Century Gothic"/>
        <family val="2"/>
      </rPr>
      <t>/s]</t>
    </r>
  </si>
  <si>
    <t>Tulokanava</t>
  </si>
  <si>
    <t>Ulkokanava</t>
  </si>
  <si>
    <t>Poistokanava</t>
  </si>
  <si>
    <t>Jätekanava</t>
  </si>
  <si>
    <t>Valinta</t>
  </si>
  <si>
    <t>LwA</t>
  </si>
  <si>
    <t>Max</t>
  </si>
  <si>
    <t>P</t>
  </si>
  <si>
    <t>Lwtot</t>
  </si>
  <si>
    <t>dB</t>
  </si>
  <si>
    <t>Maksimi</t>
  </si>
  <si>
    <t>Erotus ulko-poisto</t>
  </si>
  <si>
    <t>Erotus Tulo-jäte</t>
  </si>
  <si>
    <t>Keskiarvo erotus</t>
  </si>
  <si>
    <t>Korjaus K</t>
  </si>
  <si>
    <t>Taustamelukorjattu</t>
  </si>
  <si>
    <t>Maksimikorjaus</t>
  </si>
  <si>
    <r>
      <t>L</t>
    </r>
    <r>
      <rPr>
        <b/>
        <vertAlign val="subscript"/>
        <sz val="10"/>
        <rFont val="Century Gothic"/>
        <family val="2"/>
      </rPr>
      <t xml:space="preserve">Wtot
</t>
    </r>
    <r>
      <rPr>
        <b/>
        <sz val="10"/>
        <rFont val="Century Gothic"/>
        <family val="2"/>
      </rPr>
      <t>[dB]</t>
    </r>
  </si>
  <si>
    <r>
      <t>L</t>
    </r>
    <r>
      <rPr>
        <b/>
        <vertAlign val="subscript"/>
        <sz val="10"/>
        <rFont val="Century Gothic"/>
        <family val="2"/>
      </rPr>
      <t>WAtot</t>
    </r>
    <r>
      <rPr>
        <b/>
        <vertAlign val="subscript"/>
        <sz val="10"/>
        <rFont val="Century Gothic"/>
        <family val="2"/>
      </rPr>
      <t xml:space="preserve">
</t>
    </r>
    <r>
      <rPr>
        <b/>
        <sz val="10"/>
        <rFont val="Century Gothic"/>
        <family val="2"/>
      </rPr>
      <t>[dB]</t>
    </r>
  </si>
  <si>
    <t>Poistoilma</t>
  </si>
  <si>
    <t>Vaipan läpi</t>
  </si>
  <si>
    <t>Laitteen äänitehotasot</t>
  </si>
  <si>
    <t>Äänilähde</t>
  </si>
  <si>
    <t>Tuloilmakanava</t>
  </si>
  <si>
    <t>Ulkoilmakanava</t>
  </si>
  <si>
    <t>Poistoilmakanava</t>
  </si>
  <si>
    <t>Jäteilmakanava</t>
  </si>
  <si>
    <t>v1.0</t>
  </si>
  <si>
    <t>Versio</t>
  </si>
  <si>
    <t>Pvm</t>
  </si>
  <si>
    <t>Kuvaus</t>
  </si>
  <si>
    <t>Lähetetty asiakkaalle</t>
  </si>
  <si>
    <t>SEC-luvun laskenta mitoitustoimintapisteessä</t>
  </si>
  <si>
    <t>Tekijä</t>
  </si>
  <si>
    <t>RPM</t>
  </si>
  <si>
    <t>qV (l/s)</t>
  </si>
  <si>
    <t>PfD (Pa)</t>
  </si>
  <si>
    <t>Pkorj. (W)</t>
  </si>
  <si>
    <t>Huom. Teho kokonaisteho</t>
  </si>
  <si>
    <t>1. Mittaustulokset raakadata</t>
  </si>
  <si>
    <t>2. Puhallinkäyrien sovitteet 2. asteen polynomeilla</t>
  </si>
  <si>
    <t>8 V</t>
  </si>
  <si>
    <t>x = tilavuusvirta, y = paine-ero</t>
  </si>
  <si>
    <t>dm³/s</t>
  </si>
  <si>
    <t>Mitoituspiste:</t>
  </si>
  <si>
    <t>2. potenssin verkkokäyrän kerroin:</t>
  </si>
  <si>
    <t>Ratkaistaan toisen asteen yhtälön ratkaisukaavalla:</t>
  </si>
  <si>
    <r>
      <t>x</t>
    </r>
    <r>
      <rPr>
        <vertAlign val="subscript"/>
        <sz val="9"/>
        <color theme="1"/>
        <rFont val="Century Gothic"/>
        <family val="2"/>
      </rPr>
      <t>1</t>
    </r>
  </si>
  <si>
    <r>
      <t>x</t>
    </r>
    <r>
      <rPr>
        <vertAlign val="subscript"/>
        <sz val="9"/>
        <color theme="1"/>
        <rFont val="Century Gothic"/>
        <family val="2"/>
      </rPr>
      <t>2</t>
    </r>
  </si>
  <si>
    <r>
      <rPr>
        <b/>
        <sz val="9"/>
        <color theme="9" tint="-0.249977111117893"/>
        <rFont val="Century Gothic"/>
        <family val="2"/>
      </rPr>
      <t>a</t>
    </r>
    <r>
      <rPr>
        <b/>
        <sz val="9"/>
        <color theme="1"/>
        <rFont val="Century Gothic"/>
        <family val="2"/>
      </rPr>
      <t xml:space="preserve"> =</t>
    </r>
  </si>
  <si>
    <r>
      <rPr>
        <sz val="9"/>
        <color theme="9" tint="-0.249977111117893"/>
        <rFont val="Century Gothic"/>
        <family val="2"/>
      </rPr>
      <t>a</t>
    </r>
    <r>
      <rPr>
        <sz val="9"/>
        <color theme="1"/>
        <rFont val="Century Gothic"/>
        <family val="2"/>
      </rPr>
      <t>x²=</t>
    </r>
    <r>
      <rPr>
        <sz val="9"/>
        <color theme="4"/>
        <rFont val="Century Gothic"/>
        <family val="2"/>
      </rPr>
      <t>A</t>
    </r>
    <r>
      <rPr>
        <sz val="9"/>
        <color theme="1"/>
        <rFont val="Century Gothic"/>
        <family val="2"/>
      </rPr>
      <t>x²+</t>
    </r>
    <r>
      <rPr>
        <sz val="9"/>
        <color theme="5"/>
        <rFont val="Century Gothic"/>
        <family val="2"/>
      </rPr>
      <t>B</t>
    </r>
    <r>
      <rPr>
        <sz val="9"/>
        <color theme="1"/>
        <rFont val="Century Gothic"/>
        <family val="2"/>
      </rPr>
      <t>x+</t>
    </r>
    <r>
      <rPr>
        <sz val="9"/>
        <color theme="6"/>
        <rFont val="Century Gothic"/>
        <family val="2"/>
      </rPr>
      <t xml:space="preserve">C </t>
    </r>
    <r>
      <rPr>
        <sz val="9"/>
        <color theme="1"/>
        <rFont val="Century Gothic"/>
        <family val="2"/>
      </rPr>
      <t>---&gt; (</t>
    </r>
    <r>
      <rPr>
        <sz val="9"/>
        <color theme="4"/>
        <rFont val="Century Gothic"/>
        <family val="2"/>
      </rPr>
      <t>A</t>
    </r>
    <r>
      <rPr>
        <sz val="9"/>
        <color theme="1"/>
        <rFont val="Century Gothic"/>
        <family val="2"/>
      </rPr>
      <t>-</t>
    </r>
    <r>
      <rPr>
        <sz val="9"/>
        <color theme="9" tint="-0.249977111117893"/>
        <rFont val="Century Gothic"/>
        <family val="2"/>
      </rPr>
      <t>a</t>
    </r>
    <r>
      <rPr>
        <sz val="9"/>
        <color theme="1"/>
        <rFont val="Century Gothic"/>
        <family val="2"/>
      </rPr>
      <t>)x²+</t>
    </r>
    <r>
      <rPr>
        <sz val="9"/>
        <color theme="5"/>
        <rFont val="Century Gothic"/>
        <family val="2"/>
      </rPr>
      <t>B</t>
    </r>
    <r>
      <rPr>
        <sz val="9"/>
        <color theme="1"/>
        <rFont val="Century Gothic"/>
        <family val="2"/>
      </rPr>
      <t>x+</t>
    </r>
    <r>
      <rPr>
        <sz val="9"/>
        <color theme="6"/>
        <rFont val="Century Gothic"/>
        <family val="2"/>
      </rPr>
      <t>C</t>
    </r>
    <r>
      <rPr>
        <sz val="9"/>
        <color theme="1"/>
        <rFont val="Century Gothic"/>
        <family val="2"/>
      </rPr>
      <t xml:space="preserve"> = 0</t>
    </r>
  </si>
  <si>
    <r>
      <t>a = (</t>
    </r>
    <r>
      <rPr>
        <sz val="9"/>
        <color theme="4"/>
        <rFont val="Century Gothic"/>
        <family val="2"/>
      </rPr>
      <t>A</t>
    </r>
    <r>
      <rPr>
        <sz val="9"/>
        <color theme="1"/>
        <rFont val="Century Gothic"/>
        <family val="2"/>
      </rPr>
      <t>-</t>
    </r>
    <r>
      <rPr>
        <sz val="9"/>
        <color theme="9"/>
        <rFont val="Century Gothic"/>
        <family val="2"/>
      </rPr>
      <t>a</t>
    </r>
    <r>
      <rPr>
        <sz val="9"/>
        <color theme="1"/>
        <rFont val="Century Gothic"/>
        <family val="2"/>
      </rPr>
      <t>)</t>
    </r>
  </si>
  <si>
    <r>
      <t xml:space="preserve">b = </t>
    </r>
    <r>
      <rPr>
        <sz val="9"/>
        <color theme="5"/>
        <rFont val="Century Gothic"/>
        <family val="2"/>
      </rPr>
      <t>B</t>
    </r>
  </si>
  <si>
    <r>
      <t xml:space="preserve">c = </t>
    </r>
    <r>
      <rPr>
        <sz val="9"/>
        <color theme="6"/>
        <rFont val="Century Gothic"/>
        <family val="2"/>
      </rPr>
      <t>C</t>
    </r>
  </si>
  <si>
    <t>Kaksi ratkaisua:</t>
  </si>
  <si>
    <t>Vastaava paine verkkokäyrällä</t>
  </si>
  <si>
    <r>
      <t>P</t>
    </r>
    <r>
      <rPr>
        <vertAlign val="subscript"/>
        <sz val="9"/>
        <color theme="1"/>
        <rFont val="Century Gothic"/>
        <family val="2"/>
      </rPr>
      <t>fD</t>
    </r>
    <r>
      <rPr>
        <sz val="9"/>
        <color theme="1"/>
        <rFont val="Century Gothic"/>
        <family val="2"/>
      </rPr>
      <t>(x</t>
    </r>
    <r>
      <rPr>
        <vertAlign val="subscript"/>
        <sz val="9"/>
        <color theme="1"/>
        <rFont val="Century Gothic"/>
        <family val="2"/>
      </rPr>
      <t>2</t>
    </r>
    <r>
      <rPr>
        <sz val="9"/>
        <color theme="1"/>
        <rFont val="Century Gothic"/>
        <family val="2"/>
      </rPr>
      <t>)</t>
    </r>
  </si>
  <si>
    <r>
      <t>V</t>
    </r>
    <r>
      <rPr>
        <vertAlign val="subscript"/>
        <sz val="9"/>
        <color theme="1"/>
        <rFont val="Century Gothic"/>
        <family val="2"/>
      </rPr>
      <t>ohj</t>
    </r>
  </si>
  <si>
    <t>Puhaltimessa rajoitus 8–10 V alueella. Jaetaan laskenta kahteen alueeseen 0–8 V ja 8–10 V.</t>
  </si>
  <si>
    <t>0–8 V</t>
  </si>
  <si>
    <t>8–10 V</t>
  </si>
  <si>
    <t>Lineaarisovitteet (1. aste)</t>
  </si>
  <si>
    <t>x = ohjausjännite, y = tilavuusvirta</t>
  </si>
  <si>
    <t>Alue</t>
  </si>
  <si>
    <r>
      <t xml:space="preserve">y = </t>
    </r>
    <r>
      <rPr>
        <sz val="8"/>
        <color theme="9" tint="-0.249977111117893"/>
        <rFont val="Century Gothic"/>
        <family val="2"/>
      </rPr>
      <t>a</t>
    </r>
    <r>
      <rPr>
        <sz val="8"/>
        <color theme="1"/>
        <rFont val="Century Gothic"/>
        <family val="2"/>
      </rPr>
      <t xml:space="preserve">x² --&gt; </t>
    </r>
    <r>
      <rPr>
        <sz val="8"/>
        <color theme="9" tint="-0.249977111117893"/>
        <rFont val="Century Gothic"/>
        <family val="2"/>
      </rPr>
      <t>a</t>
    </r>
    <r>
      <rPr>
        <sz val="8"/>
        <color theme="1"/>
        <rFont val="Century Gothic"/>
        <family val="2"/>
      </rPr>
      <t xml:space="preserve"> = y/x²</t>
    </r>
  </si>
  <si>
    <r>
      <t xml:space="preserve">y = </t>
    </r>
    <r>
      <rPr>
        <b/>
        <sz val="8"/>
        <color theme="4"/>
        <rFont val="Century Gothic"/>
        <family val="2"/>
      </rPr>
      <t>A</t>
    </r>
    <r>
      <rPr>
        <sz val="8"/>
        <color theme="1"/>
        <rFont val="Century Gothic"/>
        <family val="2"/>
      </rPr>
      <t>x²+</t>
    </r>
    <r>
      <rPr>
        <b/>
        <sz val="8"/>
        <color theme="5"/>
        <rFont val="Century Gothic"/>
        <family val="2"/>
      </rPr>
      <t>B</t>
    </r>
    <r>
      <rPr>
        <sz val="8"/>
        <color theme="1"/>
        <rFont val="Century Gothic"/>
        <family val="2"/>
      </rPr>
      <t>x+</t>
    </r>
    <r>
      <rPr>
        <b/>
        <sz val="8"/>
        <color theme="6"/>
        <rFont val="Century Gothic"/>
        <family val="2"/>
      </rPr>
      <t>C</t>
    </r>
  </si>
  <si>
    <t>Valitaan alue mitoituspisteen mukaan</t>
  </si>
  <si>
    <t>Alue:</t>
  </si>
  <si>
    <t>y = Ax + B</t>
  </si>
  <si>
    <r>
      <t>V</t>
    </r>
    <r>
      <rPr>
        <b/>
        <vertAlign val="subscript"/>
        <sz val="9"/>
        <color theme="1"/>
        <rFont val="Century Gothic"/>
        <family val="2"/>
      </rPr>
      <t>ohj</t>
    </r>
    <r>
      <rPr>
        <b/>
        <sz val="9"/>
        <color theme="1"/>
        <rFont val="Century Gothic"/>
        <family val="2"/>
      </rPr>
      <t>:</t>
    </r>
  </si>
  <si>
    <t>5. Ohjausjännitteen laskenta em. leikkauspisteiden avulla</t>
  </si>
  <si>
    <t>1.</t>
  </si>
  <si>
    <t>2.</t>
  </si>
  <si>
    <t>3.</t>
  </si>
  <si>
    <t>4.</t>
  </si>
  <si>
    <t>5.</t>
  </si>
  <si>
    <t>Onko paine positiivinen?</t>
  </si>
  <si>
    <t>Onko positiivinen tilavuusvirta?</t>
  </si>
  <si>
    <t>Onko ohjausjännite enimmillään 10 V?</t>
  </si>
  <si>
    <t>Onko ohjausjännite vähintään 2 V?</t>
  </si>
  <si>
    <t>Käyttöalueen ylärajan verkkokäyrä:</t>
  </si>
  <si>
    <t>Kerroin</t>
  </si>
  <si>
    <t xml:space="preserve">6. </t>
  </si>
  <si>
    <t>Onko kaikki kunnossa?</t>
  </si>
  <si>
    <t>Onko paine ylärajan alapuolella?</t>
  </si>
  <si>
    <t>3. Mitoituspisteen verkkokäyrä</t>
  </si>
  <si>
    <t>4. Verkkokäyrän ja puhallinkäyrien leikkauspisteet</t>
  </si>
  <si>
    <t>6. Käyttöalueen tarkastus</t>
  </si>
  <si>
    <t>Käyttöalueen alarajan verkkokäyrä:</t>
  </si>
  <si>
    <t>6.</t>
  </si>
  <si>
    <t>Onko paine alarajan yläpuolella?</t>
  </si>
  <si>
    <t>TARKASTUKSET</t>
  </si>
  <si>
    <t>Pisteitä tulostusta varten, paineen yläraja</t>
  </si>
  <si>
    <t>Pisteitä tulostusta varten, paineen alaraja</t>
  </si>
  <si>
    <t>U [V]</t>
  </si>
  <si>
    <t>I [A]</t>
  </si>
  <si>
    <t>P [W]</t>
  </si>
  <si>
    <t>Pfd_korj</t>
  </si>
  <si>
    <t>Tehon sovitteet</t>
  </si>
  <si>
    <t>y = teho, x = paine</t>
  </si>
  <si>
    <t>7. Tehon laskenta</t>
  </si>
  <si>
    <t>Mittauspisteet</t>
  </si>
  <si>
    <t>PfD</t>
  </si>
  <si>
    <t>Teho</t>
  </si>
  <si>
    <t>&lt;--- Huom. rajoitus</t>
  </si>
  <si>
    <t>Valitaan 0–8 V vai 8–10V tulos:</t>
  </si>
  <si>
    <t>Sovitteet teho vs. ohjausjännite</t>
  </si>
  <si>
    <t>0–8 V: 3. asteen polynomi</t>
  </si>
  <si>
    <t>8–10 V: lineaarinen</t>
  </si>
  <si>
    <t>ohjausjännite</t>
  </si>
  <si>
    <t>Pkorj [W]</t>
  </si>
  <si>
    <t>y = Ax+B tai y = Ax²+Bx+C</t>
  </si>
  <si>
    <t>Tulo 10 V</t>
  </si>
  <si>
    <t>Tulo 8 V</t>
  </si>
  <si>
    <t>Tulo 6 V</t>
  </si>
  <si>
    <t>Tulo 4 V</t>
  </si>
  <si>
    <t>Poisto 10 V</t>
  </si>
  <si>
    <t>Poisto 8 V</t>
  </si>
  <si>
    <t>Poisto 6 V</t>
  </si>
  <si>
    <t>Poisto 4 V</t>
  </si>
  <si>
    <t>Ohjausjännitteen otsikot</t>
  </si>
  <si>
    <t>qV</t>
  </si>
  <si>
    <t>Pd</t>
  </si>
  <si>
    <t>SFP =
 1,8 kW/m³/s</t>
  </si>
  <si>
    <r>
      <t>p</t>
    </r>
    <r>
      <rPr>
        <b/>
        <vertAlign val="subscript"/>
        <sz val="10"/>
        <rFont val="Century Gothic"/>
        <family val="2"/>
      </rPr>
      <t xml:space="preserve">d
</t>
    </r>
    <r>
      <rPr>
        <b/>
        <sz val="10"/>
        <rFont val="Century Gothic"/>
        <family val="2"/>
      </rPr>
      <t>[Pa]</t>
    </r>
  </si>
  <si>
    <r>
      <t>U</t>
    </r>
    <r>
      <rPr>
        <b/>
        <vertAlign val="subscript"/>
        <sz val="10"/>
        <color theme="0" tint="-0.499984740745262"/>
        <rFont val="Century Gothic"/>
        <family val="2"/>
      </rPr>
      <t xml:space="preserve">ohj
</t>
    </r>
    <r>
      <rPr>
        <b/>
        <sz val="10"/>
        <color theme="0" tint="-0.499984740745262"/>
        <rFont val="Century Gothic"/>
        <family val="2"/>
      </rPr>
      <t>[V]</t>
    </r>
  </si>
  <si>
    <r>
      <t>q</t>
    </r>
    <r>
      <rPr>
        <b/>
        <vertAlign val="subscript"/>
        <sz val="10"/>
        <color theme="0" tint="-0.499984740745262"/>
        <rFont val="Century Gothic"/>
        <family val="2"/>
      </rPr>
      <t>V</t>
    </r>
    <r>
      <rPr>
        <b/>
        <sz val="10"/>
        <color theme="0" tint="-0.499984740745262"/>
        <rFont val="Century Gothic"/>
        <family val="2"/>
      </rPr>
      <t xml:space="preserve">
[dm</t>
    </r>
    <r>
      <rPr>
        <b/>
        <vertAlign val="superscript"/>
        <sz val="10"/>
        <color theme="0" tint="-0.499984740745262"/>
        <rFont val="Century Gothic"/>
        <family val="2"/>
      </rPr>
      <t>3</t>
    </r>
    <r>
      <rPr>
        <b/>
        <sz val="10"/>
        <color theme="0" tint="-0.499984740745262"/>
        <rFont val="Century Gothic"/>
        <family val="2"/>
      </rPr>
      <t>/s]</t>
    </r>
  </si>
  <si>
    <r>
      <t>p</t>
    </r>
    <r>
      <rPr>
        <b/>
        <vertAlign val="subscript"/>
        <sz val="10"/>
        <color theme="0" tint="-0.499984740745262"/>
        <rFont val="Century Gothic"/>
        <family val="2"/>
      </rPr>
      <t xml:space="preserve">d
</t>
    </r>
    <r>
      <rPr>
        <b/>
        <sz val="10"/>
        <color theme="0" tint="-0.499984740745262"/>
        <rFont val="Century Gothic"/>
        <family val="2"/>
      </rPr>
      <t>[Pa]</t>
    </r>
  </si>
  <si>
    <t>1. RAAKADATA</t>
  </si>
  <si>
    <t>TULOKANAVA</t>
  </si>
  <si>
    <t>ULKOKANAVA</t>
  </si>
  <si>
    <t>POISTOKANAVA</t>
  </si>
  <si>
    <t>JÄTEKANAVA</t>
  </si>
  <si>
    <t>Äänikäyrien sovitteet, 1. asteen lineaarinen sovite</t>
  </si>
  <si>
    <t>y = LwA, x = qV --&gt; y = Ax+B</t>
  </si>
  <si>
    <r>
      <t>V</t>
    </r>
    <r>
      <rPr>
        <vertAlign val="subscript"/>
        <sz val="10"/>
        <color theme="1"/>
        <rFont val="Century Gothic"/>
        <family val="2"/>
      </rPr>
      <t>ohj</t>
    </r>
  </si>
  <si>
    <t>2. SOVITTEET LwA vs. TILAVUUSVIRTA</t>
  </si>
  <si>
    <t>Sovite mitoituspisteen verkkokäyrän äänipisteistä</t>
  </si>
  <si>
    <t>Logaritmisovite y = A ln(x) + B</t>
  </si>
  <si>
    <t>y = LwA, x = qV</t>
  </si>
  <si>
    <t>Mitoituspisteen verkkokäyrä</t>
  </si>
  <si>
    <t>-----&gt;</t>
  </si>
  <si>
    <t>Mitoituspisteen tilavuusvirta (poistoilma)</t>
  </si>
  <si>
    <t>Mitoituspisteen tilavuusvirta (tuloilma)</t>
  </si>
  <si>
    <t>--&gt; Äänitehotasot mitoituspisteen verkkokäyrän pisteissä</t>
  </si>
  <si>
    <t>--&gt; Em. verkkokäyrän LwA logaritmisovitteesta mitoituspisteen LwA</t>
  </si>
  <si>
    <t>3. SPEKTRIKORJAUS</t>
  </si>
  <si>
    <t>SPEKTRIKORJAUSTERMIT</t>
  </si>
  <si>
    <t>A-pain.</t>
  </si>
  <si>
    <t>Lopputulos</t>
  </si>
  <si>
    <t>Lähin mitoituspistettä</t>
  </si>
  <si>
    <t>LwA,tot</t>
  </si>
  <si>
    <t>VAIPAN LÄPI</t>
  </si>
  <si>
    <t>KESKIARVO</t>
  </si>
  <si>
    <t>y = LwA, x = Vohj</t>
  </si>
  <si>
    <t>Mitoituspisteen ohjausjännite:</t>
  </si>
  <si>
    <t>Maksimi:</t>
  </si>
  <si>
    <t>Pain. keskiarvo:</t>
  </si>
  <si>
    <t>Mitoituspisteen tilavuusvirta (pain. keskiarvo)</t>
  </si>
  <si>
    <t>Korjaus K äänitehotasoon vaipan läpi</t>
  </si>
  <si>
    <t>Tulosteeseen</t>
  </si>
  <si>
    <t>Tulostus</t>
  </si>
  <si>
    <t>SFP:n laskenta</t>
  </si>
  <si>
    <t>Idle</t>
  </si>
  <si>
    <t>Pkor-idle</t>
  </si>
  <si>
    <t>Poistopuhallin</t>
  </si>
  <si>
    <t>Tulopuhallin</t>
  </si>
  <si>
    <t>Tulovirta</t>
  </si>
  <si>
    <t>kW/m³/s</t>
  </si>
  <si>
    <t>Sovitteet teho vs. PfD</t>
  </si>
  <si>
    <t>0–8 V: 2. asteen polynomi</t>
  </si>
  <si>
    <t>--&gt;</t>
  </si>
  <si>
    <t>Poisto 2 V</t>
  </si>
  <si>
    <t>Tuloilmavirta</t>
  </si>
  <si>
    <t>Mitoitusohjelmasta:</t>
  </si>
  <si>
    <t>Ilmavirta</t>
  </si>
  <si>
    <t>Minimi</t>
  </si>
  <si>
    <t>x = dm³/s, y = LT-HS</t>
  </si>
  <si>
    <t>LT-hyötysuhde mitoituspisteessä:</t>
  </si>
  <si>
    <t>Tarkastetaan minimi ja maksimi</t>
  </si>
  <si>
    <t>Laskentaan:</t>
  </si>
  <si>
    <t>SFP-otsikon tulostuspaikka</t>
  </si>
  <si>
    <t>TRY 2020 pysyvyysarvot</t>
  </si>
  <si>
    <t>I</t>
  </si>
  <si>
    <t>II</t>
  </si>
  <si>
    <t>I (Vantaa)</t>
  </si>
  <si>
    <t>Ulkoilman lämpötilaa vastaava suhteellinen aika vuodessa, TRY 2020 [%]</t>
  </si>
  <si>
    <t>Toimintapisteen määritys ja SFP:n laskenta</t>
  </si>
  <si>
    <t>Tehostusvaran laskenta</t>
  </si>
  <si>
    <t>Tehostusvara</t>
  </si>
  <si>
    <t>Tehostusvara:</t>
  </si>
  <si>
    <t>Kuinka paljon pystytään tehostamaan valintapisteestä?</t>
  </si>
  <si>
    <t>Maksimipiste</t>
  </si>
  <si>
    <t>8. Tehostusvaran laskenta (v1.1)</t>
  </si>
  <si>
    <t>Maksimi ilman tilavuusvirta tehostuksella</t>
  </si>
  <si>
    <t>Maksimi paine-ero tehostuksella</t>
  </si>
  <si>
    <t>8. Tehostusvaran laskenta</t>
  </si>
  <si>
    <t>Tulosteen puhallinkäyrät</t>
  </si>
  <si>
    <t>Min</t>
  </si>
  <si>
    <t>Lineaarisovitteen kerroin:</t>
  </si>
  <si>
    <t>y = Ax --&gt; A = y/x</t>
  </si>
  <si>
    <t>A =</t>
  </si>
  <si>
    <r>
      <t xml:space="preserve">y = </t>
    </r>
    <r>
      <rPr>
        <sz val="9"/>
        <color rgb="FFFF0000"/>
        <rFont val="Century Gothic"/>
        <family val="2"/>
      </rPr>
      <t>A</t>
    </r>
    <r>
      <rPr>
        <sz val="9"/>
        <color theme="1"/>
        <rFont val="Century Gothic"/>
        <family val="2"/>
      </rPr>
      <t xml:space="preserve">x² + </t>
    </r>
    <r>
      <rPr>
        <sz val="9"/>
        <color theme="4"/>
        <rFont val="Century Gothic"/>
        <family val="2"/>
      </rPr>
      <t>B</t>
    </r>
    <r>
      <rPr>
        <sz val="9"/>
        <color theme="1"/>
        <rFont val="Century Gothic"/>
        <family val="2"/>
      </rPr>
      <t>x+</t>
    </r>
    <r>
      <rPr>
        <sz val="9"/>
        <color theme="6"/>
        <rFont val="Century Gothic"/>
        <family val="2"/>
      </rPr>
      <t>C</t>
    </r>
  </si>
  <si>
    <t>P-idle</t>
  </si>
  <si>
    <t>Tehorajoitus</t>
  </si>
  <si>
    <t>9. TARKASTUKSET</t>
  </si>
  <si>
    <t>Käyttöalueen yläraja (lineaarinen):</t>
  </si>
  <si>
    <t>Hyödynnetty mittausdataa:</t>
  </si>
  <si>
    <t>HS, kenno kuiva</t>
  </si>
  <si>
    <t>Tulopuhaltimen sähköteho</t>
  </si>
  <si>
    <t>tulo</t>
  </si>
  <si>
    <t>ulko</t>
  </si>
  <si>
    <t>poisto</t>
  </si>
  <si>
    <t>jäte</t>
  </si>
  <si>
    <t>HS kone</t>
  </si>
  <si>
    <t>%-yksikön korjaus hyötysuhteeseen, jos ulkoilma 7 C ja poistoilma 20 C</t>
  </si>
  <si>
    <t>Kenno</t>
  </si>
  <si>
    <t>&lt;-- Jos virheellinen toimintapiste, tulostetaan "-"</t>
  </si>
  <si>
    <t>lämmöntalteenoton lämpötilahyötysuhde vertailuilmavirralla ja 50 Pa paine-erolla</t>
  </si>
  <si>
    <t>Laskentaohjelma luotu</t>
  </si>
  <si>
    <t>Tiedoston nimi</t>
  </si>
  <si>
    <t>Versioon v.1.1</t>
  </si>
  <si>
    <t>Vaihdettu tiukempi kenno (2.5 lamelliväli)</t>
  </si>
  <si>
    <t>Mitattu kennolla 3.0</t>
  </si>
  <si>
    <t>Erotus</t>
  </si>
  <si>
    <t>10V</t>
  </si>
  <si>
    <t>8V</t>
  </si>
  <si>
    <t>6V</t>
  </si>
  <si>
    <t>4V</t>
  </si>
  <si>
    <t>Korjatut (2.5 lamellivälin kennolla)</t>
  </si>
  <si>
    <t>Painehäviöt Ekocoilin kennoajoista</t>
  </si>
  <si>
    <t>3.0 kenno</t>
  </si>
  <si>
    <t>2.5 kenno</t>
  </si>
  <si>
    <t>Sovite</t>
  </si>
  <si>
    <t>1. aste</t>
  </si>
  <si>
    <t>Tulo 2V</t>
  </si>
  <si>
    <t>Mitatut tulokset</t>
  </si>
  <si>
    <t>2V</t>
  </si>
  <si>
    <t>Tehty</t>
  </si>
  <si>
    <t>Tarkista kovakoodatut raja-arvot</t>
  </si>
  <si>
    <t>Tarkista vielä kovakoodatut raja-arvot</t>
  </si>
  <si>
    <t>Valmis</t>
  </si>
  <si>
    <t>Tarkista spektrikorjaukset</t>
  </si>
  <si>
    <t>EI KÄYTETÄ</t>
  </si>
  <si>
    <t>Validointi</t>
  </si>
  <si>
    <t>Piste 1</t>
  </si>
  <si>
    <t>U</t>
  </si>
  <si>
    <t>P (W)</t>
  </si>
  <si>
    <t>Mitatut</t>
  </si>
  <si>
    <t>Ptot*</t>
  </si>
  <si>
    <t>Lw</t>
  </si>
  <si>
    <t>*arvioitu kitkapainehäviö</t>
  </si>
  <si>
    <t>Lasketut</t>
  </si>
  <si>
    <t>Piste 2</t>
  </si>
  <si>
    <t>Erilliset validointipisteet:</t>
  </si>
  <si>
    <t>Ptot tulo*</t>
  </si>
  <si>
    <t>Ptot poisto*</t>
  </si>
  <si>
    <t>qV pois</t>
  </si>
  <si>
    <t>qV tulo</t>
  </si>
  <si>
    <t>tilavuusvirta selvitetty paineen ja ohjausjännitteen perusteella</t>
  </si>
  <si>
    <t>Piste 3</t>
  </si>
  <si>
    <t>Vertailu verkkokäyrien pisteisiin:</t>
  </si>
  <si>
    <t>Mitattu</t>
  </si>
  <si>
    <t>Laskettu</t>
  </si>
  <si>
    <t>Versioon v.1.1 Huom MAC350 koneessa, ei tässä koneessä käytössä</t>
  </si>
  <si>
    <t>Puhaltimessa rajoitus n. 9–10 V alueella. Jaetaan laskenta kahteen alueeseen 0–9 V ja 9–10 V.</t>
  </si>
  <si>
    <t>0–9 V</t>
  </si>
  <si>
    <t>9–10 V</t>
  </si>
  <si>
    <t>Puhaltimessa rajoitus 9–10 V alueella. Jaetaan laskenta kahteen alueeseen 0–9 V ja 9–10 V.</t>
  </si>
  <si>
    <t>7.</t>
  </si>
  <si>
    <t>Tuloilman lämpötila LTO:n jälkeen (sis. tulopuhaltimen lämmittävän vaikutuksen) [°C]</t>
  </si>
  <si>
    <t>Lämmittävä vaikutus. Arvioitu 80 % (konservatiivinen arvio)</t>
  </si>
  <si>
    <t>JK</t>
  </si>
  <si>
    <t>25.8.</t>
  </si>
  <si>
    <t>Parmair Alvari laskentaohjelma v1.0</t>
  </si>
  <si>
    <t>Parmair Ilmanvaihto Oy: LTO-laite Parmair Alvari</t>
  </si>
  <si>
    <t>---------------------------------------------------------------------</t>
  </si>
  <si>
    <t>Measurement:</t>
  </si>
  <si>
    <t>(Tue</t>
  </si>
  <si>
    <t>07/21/26</t>
  </si>
  <si>
    <t>-</t>
  </si>
  <si>
    <t>15:36:24)</t>
  </si>
  <si>
    <t>HAMEG</t>
  </si>
  <si>
    <t>HM8115-2</t>
  </si>
  <si>
    <t>version</t>
  </si>
  <si>
    <t>TIME</t>
  </si>
  <si>
    <t>VOLTAGE</t>
  </si>
  <si>
    <t>(V)</t>
  </si>
  <si>
    <t>CURRENT</t>
  </si>
  <si>
    <t>(A)</t>
  </si>
  <si>
    <t>FUNCTION</t>
  </si>
  <si>
    <t>(WATT/VAr/VA/PF)</t>
  </si>
  <si>
    <t>U3</t>
  </si>
  <si>
    <t>=</t>
  </si>
  <si>
    <t>I1</t>
  </si>
  <si>
    <t>WATT</t>
  </si>
  <si>
    <t>Vähennetty idleteho</t>
  </si>
  <si>
    <t>9.9.</t>
  </si>
  <si>
    <t>Tarkennettu hyötysuhteita</t>
  </si>
  <si>
    <t>JU</t>
  </si>
  <si>
    <t>Parmair Alvari</t>
  </si>
  <si>
    <t xml:space="preserve">Kenno: </t>
  </si>
  <si>
    <t>Ei käytössä tässä mallissa. Hyötysuhteet mitattu.</t>
  </si>
  <si>
    <t>Vertailuilmavirralla 84 l/s</t>
  </si>
  <si>
    <r>
      <t>y = Ax</t>
    </r>
    <r>
      <rPr>
        <vertAlign val="superscript"/>
        <sz val="10"/>
        <color theme="1"/>
        <rFont val="Century Gothic"/>
        <family val="2"/>
      </rPr>
      <t>2</t>
    </r>
    <r>
      <rPr>
        <sz val="10"/>
        <color theme="1"/>
        <rFont val="Century Gothic"/>
        <family val="2"/>
      </rPr>
      <t>+Bx+C</t>
    </r>
  </si>
  <si>
    <t>2. asteen polynomisovite</t>
  </si>
  <si>
    <t>Käsin</t>
  </si>
  <si>
    <t>2. polynomisovite</t>
  </si>
  <si>
    <t>Log</t>
  </si>
  <si>
    <t>Poly</t>
  </si>
  <si>
    <t>Keskiarvo log/poly</t>
  </si>
  <si>
    <t>Ptot (W)</t>
  </si>
  <si>
    <t>10.9.</t>
  </si>
  <si>
    <t>Validointi + Lähetetty asiakkaalle</t>
  </si>
  <si>
    <t>JK/JU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</si>
</sst>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0"/>
    <numFmt numFmtId="166" formatCode="0.000"/>
    <numFmt numFmtId="167" formatCode="0.0\ %"/>
    <numFmt numFmtId="168" formatCode="0.0&quot; °C&quot;"/>
    <numFmt numFmtId="169" formatCode="0.00&quot; V&quot;"/>
    <numFmt numFmtId="170" formatCode="0&quot; V&quot;"/>
  </numFmts>
  <fonts count="79" x14ac:knownFonts="1"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theme="1"/>
      <name val="Century Gothic"/>
      <family val="2"/>
    </font>
    <font>
      <b/>
      <vertAlign val="subscript"/>
      <sz val="10"/>
      <color theme="1"/>
      <name val="Century Gothic"/>
      <family val="2"/>
    </font>
    <font>
      <b/>
      <u/>
      <sz val="12"/>
      <color theme="1"/>
      <name val="Century Gothic"/>
      <family val="2"/>
    </font>
    <font>
      <b/>
      <u/>
      <sz val="10"/>
      <color theme="1"/>
      <name val="Century Gothic"/>
      <family val="2"/>
    </font>
    <font>
      <sz val="10"/>
      <color rgb="FF3F3F76"/>
      <name val="Century Gothic"/>
      <family val="2"/>
    </font>
    <font>
      <b/>
      <sz val="10"/>
      <color rgb="FF3F3F3F"/>
      <name val="Century Gothic"/>
      <family val="2"/>
    </font>
    <font>
      <vertAlign val="subscript"/>
      <sz val="10"/>
      <color theme="1"/>
      <name val="Century Gothic"/>
      <family val="2"/>
    </font>
    <font>
      <i/>
      <sz val="10"/>
      <color rgb="FF7F7F7F"/>
      <name val="Century Gothic"/>
      <family val="2"/>
    </font>
    <font>
      <b/>
      <sz val="10"/>
      <color theme="3" tint="-0.499984740745262"/>
      <name val="Century Gothic"/>
      <family val="2"/>
    </font>
    <font>
      <vertAlign val="superscript"/>
      <sz val="10"/>
      <color theme="1"/>
      <name val="Century Gothic"/>
      <family val="2"/>
    </font>
    <font>
      <b/>
      <sz val="11"/>
      <color theme="3" tint="-0.499984740745262"/>
      <name val="Century Gothic"/>
      <family val="2"/>
    </font>
    <font>
      <sz val="10"/>
      <color theme="3" tint="-0.499984740745262"/>
      <name val="Century Gothic"/>
      <family val="2"/>
    </font>
    <font>
      <b/>
      <sz val="11"/>
      <color rgb="FF3F3F3F"/>
      <name val="Century Gothic"/>
      <family val="2"/>
    </font>
    <font>
      <b/>
      <vertAlign val="subscript"/>
      <sz val="11"/>
      <color theme="1"/>
      <name val="Century Gothic"/>
      <family val="2"/>
    </font>
    <font>
      <b/>
      <u/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vertAlign val="subscript"/>
      <sz val="9"/>
      <color theme="1"/>
      <name val="Century Gothic"/>
      <family val="2"/>
    </font>
    <font>
      <vertAlign val="subscript"/>
      <sz val="9"/>
      <color theme="1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b/>
      <sz val="10"/>
      <name val="Century Gothic"/>
      <family val="2"/>
    </font>
    <font>
      <b/>
      <vertAlign val="subscript"/>
      <sz val="10"/>
      <name val="Century Gothic"/>
      <family val="2"/>
    </font>
    <font>
      <b/>
      <vertAlign val="superscript"/>
      <sz val="10"/>
      <name val="Century Gothic"/>
      <family val="2"/>
    </font>
    <font>
      <b/>
      <sz val="10"/>
      <color rgb="FFFF0000"/>
      <name val="Century Gothic"/>
      <family val="2"/>
    </font>
    <font>
      <sz val="8"/>
      <color theme="1"/>
      <name val="Century Gothic"/>
      <family val="2"/>
    </font>
    <font>
      <b/>
      <sz val="9"/>
      <color rgb="FF3F3F3F"/>
      <name val="Century Gothic"/>
      <family val="2"/>
    </font>
    <font>
      <sz val="9"/>
      <color rgb="FF3F3F3F"/>
      <name val="Century Gothic"/>
      <family val="2"/>
    </font>
    <font>
      <i/>
      <sz val="9"/>
      <color rgb="FF3F3F3F"/>
      <name val="Century Gothic"/>
      <family val="2"/>
    </font>
    <font>
      <sz val="8"/>
      <name val="Century Gothic"/>
      <family val="2"/>
    </font>
    <font>
      <b/>
      <sz val="9"/>
      <color theme="4"/>
      <name val="Century Gothic"/>
      <family val="2"/>
    </font>
    <font>
      <b/>
      <sz val="9"/>
      <color theme="5"/>
      <name val="Century Gothic"/>
      <family val="2"/>
    </font>
    <font>
      <b/>
      <sz val="9"/>
      <color theme="6"/>
      <name val="Century Gothic"/>
      <family val="2"/>
    </font>
    <font>
      <sz val="9"/>
      <color theme="0" tint="-0.499984740745262"/>
      <name val="Century Gothic"/>
      <family val="2"/>
    </font>
    <font>
      <b/>
      <sz val="9"/>
      <color theme="0" tint="-0.499984740745262"/>
      <name val="Century Gothic"/>
      <family val="2"/>
    </font>
    <font>
      <u/>
      <sz val="9"/>
      <color theme="1"/>
      <name val="Century Gothic"/>
      <family val="2"/>
    </font>
    <font>
      <b/>
      <sz val="9"/>
      <color theme="9" tint="-0.249977111117893"/>
      <name val="Century Gothic"/>
      <family val="2"/>
    </font>
    <font>
      <sz val="9"/>
      <color theme="9" tint="-0.249977111117893"/>
      <name val="Century Gothic"/>
      <family val="2"/>
    </font>
    <font>
      <sz val="9"/>
      <color theme="4"/>
      <name val="Century Gothic"/>
      <family val="2"/>
    </font>
    <font>
      <sz val="9"/>
      <color theme="5"/>
      <name val="Century Gothic"/>
      <family val="2"/>
    </font>
    <font>
      <sz val="9"/>
      <color theme="6"/>
      <name val="Century Gothic"/>
      <family val="2"/>
    </font>
    <font>
      <sz val="9"/>
      <color theme="9"/>
      <name val="Century Gothic"/>
      <family val="2"/>
    </font>
    <font>
      <sz val="8"/>
      <color theme="9" tint="-0.249977111117893"/>
      <name val="Century Gothic"/>
      <family val="2"/>
    </font>
    <font>
      <b/>
      <sz val="8"/>
      <color theme="4"/>
      <name val="Century Gothic"/>
      <family val="2"/>
    </font>
    <font>
      <b/>
      <sz val="8"/>
      <color theme="5"/>
      <name val="Century Gothic"/>
      <family val="2"/>
    </font>
    <font>
      <b/>
      <sz val="8"/>
      <color theme="6"/>
      <name val="Century Gothic"/>
      <family val="2"/>
    </font>
    <font>
      <b/>
      <sz val="10"/>
      <color theme="0" tint="-0.499984740745262"/>
      <name val="Century Gothic"/>
      <family val="2"/>
    </font>
    <font>
      <b/>
      <vertAlign val="subscript"/>
      <sz val="10"/>
      <color theme="0" tint="-0.499984740745262"/>
      <name val="Century Gothic"/>
      <family val="2"/>
    </font>
    <font>
      <b/>
      <vertAlign val="superscript"/>
      <sz val="10"/>
      <color theme="0" tint="-0.499984740745262"/>
      <name val="Century Gothic"/>
      <family val="2"/>
    </font>
    <font>
      <sz val="10"/>
      <color theme="0" tint="-0.499984740745262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sz val="9"/>
      <color rgb="FFFF0000"/>
      <name val="Century Gothic"/>
      <family val="2"/>
    </font>
    <font>
      <b/>
      <sz val="9"/>
      <color rgb="FFFF0000"/>
      <name val="Century Gothic"/>
      <family val="2"/>
    </font>
    <font>
      <i/>
      <sz val="10"/>
      <color theme="1"/>
      <name val="Century Gothic"/>
      <family val="2"/>
    </font>
    <font>
      <i/>
      <sz val="9"/>
      <name val="Century Gothic"/>
      <family val="2"/>
    </font>
    <font>
      <b/>
      <sz val="10"/>
      <color theme="0" tint="-0.14999847407452621"/>
      <name val="Century Gothic"/>
      <family val="2"/>
    </font>
    <font>
      <sz val="9"/>
      <color theme="0" tint="-0.14999847407452621"/>
      <name val="Century Gothic"/>
      <family val="2"/>
    </font>
    <font>
      <b/>
      <sz val="9"/>
      <color theme="0" tint="-0.14999847407452621"/>
      <name val="Century Gothic"/>
      <family val="2"/>
    </font>
    <font>
      <sz val="10"/>
      <color rgb="FFFF0000"/>
      <name val="Century Gothic"/>
      <family val="2"/>
    </font>
    <font>
      <b/>
      <sz val="11"/>
      <color theme="0" tint="-0.34998626667073579"/>
      <name val="Century Gothic"/>
      <family val="2"/>
    </font>
    <font>
      <sz val="9"/>
      <color theme="0" tint="-0.34998626667073579"/>
      <name val="Century Gothic"/>
      <family val="2"/>
    </font>
    <font>
      <b/>
      <sz val="9"/>
      <color theme="0" tint="-0.34998626667073579"/>
      <name val="Century Gothic"/>
      <family val="2"/>
    </font>
    <font>
      <b/>
      <strike/>
      <sz val="11"/>
      <color theme="0" tint="-0.34998626667073579"/>
      <name val="Century Gothic"/>
      <family val="2"/>
    </font>
    <font>
      <strike/>
      <sz val="9"/>
      <color theme="0" tint="-0.34998626667073579"/>
      <name val="Century Gothic"/>
      <family val="2"/>
    </font>
    <font>
      <b/>
      <strike/>
      <sz val="9"/>
      <color theme="0" tint="-0.34998626667073579"/>
      <name val="Century Gothic"/>
      <family val="2"/>
    </font>
    <font>
      <strike/>
      <sz val="9"/>
      <color theme="1"/>
      <name val="Century Gothic"/>
      <family val="2"/>
    </font>
    <font>
      <b/>
      <strike/>
      <sz val="9"/>
      <color theme="1"/>
      <name val="Century Gothic"/>
      <family val="2"/>
    </font>
    <font>
      <strike/>
      <sz val="9"/>
      <color theme="0" tint="-0.499984740745262"/>
      <name val="Century Gothic"/>
      <family val="2"/>
    </font>
    <font>
      <strike/>
      <sz val="10"/>
      <color theme="1"/>
      <name val="Century Gothic"/>
      <family val="2"/>
    </font>
    <font>
      <strike/>
      <sz val="9"/>
      <name val="Century Gothic"/>
      <family val="2"/>
    </font>
    <font>
      <b/>
      <strike/>
      <sz val="10"/>
      <color theme="0" tint="-0.14999847407452621"/>
      <name val="Century Gothic"/>
      <family val="2"/>
    </font>
    <font>
      <strike/>
      <sz val="9"/>
      <color theme="0" tint="-0.14999847407452621"/>
      <name val="Century Gothic"/>
      <family val="2"/>
    </font>
    <font>
      <b/>
      <strike/>
      <sz val="9"/>
      <color theme="0" tint="-0.14999847407452621"/>
      <name val="Century Gothic"/>
      <family val="2"/>
    </font>
    <font>
      <sz val="10"/>
      <color rgb="FF006100"/>
      <name val="Century Gothic"/>
      <family val="2"/>
    </font>
    <font>
      <sz val="10"/>
      <color rgb="FF9C5700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/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3F3F3F"/>
      </right>
      <top/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3F3F3F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3F3F3F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2" borderId="1" applyNumberFormat="0" applyAlignment="0" applyProtection="0"/>
    <xf numFmtId="0" fontId="7" fillId="3" borderId="8" applyNumberFormat="0" applyAlignment="0" applyProtection="0"/>
    <xf numFmtId="0" fontId="11" fillId="3" borderId="8" applyNumberFormat="0" applyAlignment="0" applyProtection="0"/>
    <xf numFmtId="0" fontId="8" fillId="0" borderId="9" applyNumberFormat="0" applyAlignment="0" applyProtection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3" borderId="9" applyNumberFormat="0" applyAlignment="0" applyProtection="0"/>
    <xf numFmtId="0" fontId="2" fillId="2" borderId="1" applyNumberFormat="0" applyFont="0" applyAlignment="0" applyProtection="0"/>
    <xf numFmtId="2" fontId="2" fillId="0" borderId="0"/>
    <xf numFmtId="0" fontId="23" fillId="0" borderId="0"/>
    <xf numFmtId="0" fontId="77" fillId="11" borderId="0" applyNumberFormat="0" applyBorder="0" applyAlignment="0" applyProtection="0"/>
    <xf numFmtId="0" fontId="78" fillId="12" borderId="0" applyNumberFormat="0" applyBorder="0" applyAlignment="0" applyProtection="0"/>
  </cellStyleXfs>
  <cellXfs count="617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165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0" xfId="0" applyFont="1"/>
    <xf numFmtId="164" fontId="0" fillId="0" borderId="0" xfId="0" applyNumberFormat="1"/>
    <xf numFmtId="0" fontId="7" fillId="3" borderId="8" xfId="2"/>
    <xf numFmtId="0" fontId="0" fillId="0" borderId="0" xfId="0" applyAlignment="1">
      <alignment horizontal="left"/>
    </xf>
    <xf numFmtId="2" fontId="7" fillId="3" borderId="8" xfId="2" applyNumberFormat="1"/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21" xfId="0" applyBorder="1"/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13" xfId="0" applyFont="1" applyBorder="1"/>
    <xf numFmtId="164" fontId="8" fillId="0" borderId="16" xfId="4" applyNumberFormat="1" applyBorder="1" applyAlignment="1">
      <alignment horizontal="center"/>
    </xf>
    <xf numFmtId="164" fontId="8" fillId="0" borderId="15" xfId="4" applyNumberFormat="1" applyBorder="1" applyAlignment="1">
      <alignment horizontal="center"/>
    </xf>
    <xf numFmtId="0" fontId="0" fillId="0" borderId="17" xfId="0" applyBorder="1"/>
    <xf numFmtId="0" fontId="0" fillId="0" borderId="20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0" fillId="0" borderId="14" xfId="0" applyBorder="1"/>
    <xf numFmtId="0" fontId="0" fillId="0" borderId="26" xfId="0" applyBorder="1"/>
    <xf numFmtId="164" fontId="8" fillId="0" borderId="15" xfId="4" applyNumberForma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0" fillId="3" borderId="11" xfId="6" applyFill="1" applyBorder="1" applyAlignment="1">
      <alignment horizontal="center"/>
    </xf>
    <xf numFmtId="0" fontId="10" fillId="3" borderId="12" xfId="6" applyFill="1" applyBorder="1" applyAlignment="1">
      <alignment horizontal="center"/>
    </xf>
    <xf numFmtId="164" fontId="8" fillId="0" borderId="10" xfId="4" applyNumberFormat="1" applyBorder="1" applyAlignment="1">
      <alignment horizontal="center" vertical="center"/>
    </xf>
    <xf numFmtId="2" fontId="8" fillId="0" borderId="0" xfId="4" applyNumberFormat="1" applyBorder="1" applyAlignment="1">
      <alignment horizontal="center" vertical="center"/>
    </xf>
    <xf numFmtId="164" fontId="8" fillId="0" borderId="29" xfId="4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/>
    </xf>
    <xf numFmtId="167" fontId="0" fillId="0" borderId="27" xfId="5" applyNumberFormat="1" applyFont="1" applyBorder="1" applyAlignment="1">
      <alignment horizontal="center"/>
    </xf>
    <xf numFmtId="167" fontId="0" fillId="0" borderId="28" xfId="5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167" fontId="13" fillId="3" borderId="9" xfId="7" applyNumberFormat="1" applyFont="1" applyAlignment="1">
      <alignment horizontal="center"/>
    </xf>
    <xf numFmtId="1" fontId="13" fillId="3" borderId="9" xfId="7" applyNumberFormat="1" applyFont="1" applyAlignment="1">
      <alignment horizontal="center"/>
    </xf>
    <xf numFmtId="164" fontId="14" fillId="2" borderId="31" xfId="8" applyNumberFormat="1" applyFont="1" applyBorder="1" applyAlignment="1">
      <alignment horizontal="center"/>
    </xf>
    <xf numFmtId="0" fontId="1" fillId="0" borderId="2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164" fontId="14" fillId="2" borderId="1" xfId="8" applyNumberFormat="1" applyFont="1" applyAlignment="1">
      <alignment horizontal="center"/>
    </xf>
    <xf numFmtId="0" fontId="0" fillId="0" borderId="20" xfId="0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167" fontId="0" fillId="0" borderId="20" xfId="5" applyNumberFormat="1" applyFont="1" applyBorder="1" applyAlignment="1">
      <alignment horizontal="center"/>
    </xf>
    <xf numFmtId="167" fontId="0" fillId="0" borderId="0" xfId="5" applyNumberFormat="1" applyFont="1" applyBorder="1" applyAlignment="1">
      <alignment horizontal="center"/>
    </xf>
    <xf numFmtId="167" fontId="0" fillId="0" borderId="21" xfId="5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32" xfId="0" applyNumberFormat="1" applyBorder="1" applyAlignment="1">
      <alignment horizontal="center" vertical="center"/>
    </xf>
    <xf numFmtId="1" fontId="1" fillId="0" borderId="0" xfId="0" applyNumberFormat="1" applyFont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0" fillId="0" borderId="32" xfId="0" applyBorder="1"/>
    <xf numFmtId="165" fontId="0" fillId="0" borderId="20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2" fontId="0" fillId="2" borderId="1" xfId="8" applyNumberFormat="1" applyFont="1" applyAlignment="1">
      <alignment horizontal="center"/>
    </xf>
    <xf numFmtId="167" fontId="14" fillId="2" borderId="1" xfId="8" applyNumberFormat="1" applyFont="1" applyAlignment="1">
      <alignment horizontal="center"/>
    </xf>
    <xf numFmtId="167" fontId="0" fillId="2" borderId="1" xfId="8" applyNumberFormat="1" applyFont="1" applyAlignment="1">
      <alignment horizontal="center"/>
    </xf>
    <xf numFmtId="0" fontId="14" fillId="2" borderId="1" xfId="8" applyFont="1" applyAlignment="1">
      <alignment horizontal="center"/>
    </xf>
    <xf numFmtId="0" fontId="14" fillId="2" borderId="1" xfId="8" applyFont="1"/>
    <xf numFmtId="2" fontId="0" fillId="2" borderId="33" xfId="8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4" xfId="0" applyBorder="1"/>
    <xf numFmtId="165" fontId="0" fillId="0" borderId="17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1" fillId="0" borderId="34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10" fontId="1" fillId="0" borderId="36" xfId="5" applyNumberFormat="1" applyFont="1" applyBorder="1" applyAlignment="1">
      <alignment horizontal="center" vertical="center"/>
    </xf>
    <xf numFmtId="166" fontId="0" fillId="0" borderId="0" xfId="0" applyNumberFormat="1"/>
    <xf numFmtId="0" fontId="0" fillId="0" borderId="22" xfId="0" applyBorder="1" applyAlignment="1">
      <alignment horizontal="center" vertical="center"/>
    </xf>
    <xf numFmtId="165" fontId="0" fillId="0" borderId="25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167" fontId="0" fillId="0" borderId="22" xfId="5" applyNumberFormat="1" applyFont="1" applyBorder="1" applyAlignment="1">
      <alignment horizontal="center"/>
    </xf>
    <xf numFmtId="167" fontId="0" fillId="0" borderId="2" xfId="5" applyNumberFormat="1" applyFont="1" applyBorder="1" applyAlignment="1">
      <alignment horizontal="center"/>
    </xf>
    <xf numFmtId="167" fontId="0" fillId="0" borderId="23" xfId="5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center"/>
    </xf>
    <xf numFmtId="167" fontId="0" fillId="0" borderId="0" xfId="5" applyNumberFormat="1" applyFont="1" applyAlignment="1">
      <alignment horizontal="center"/>
    </xf>
    <xf numFmtId="0" fontId="0" fillId="0" borderId="25" xfId="0" applyBorder="1"/>
    <xf numFmtId="165" fontId="0" fillId="0" borderId="22" xfId="0" applyNumberForma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0" fontId="0" fillId="0" borderId="0" xfId="5" applyNumberFormat="1" applyFont="1" applyBorder="1" applyAlignment="1">
      <alignment horizontal="center" vertical="center"/>
    </xf>
    <xf numFmtId="10" fontId="0" fillId="0" borderId="0" xfId="5" applyNumberFormat="1" applyFont="1" applyAlignment="1">
      <alignment horizontal="center" vertical="center"/>
    </xf>
    <xf numFmtId="167" fontId="0" fillId="0" borderId="0" xfId="5" applyNumberFormat="1" applyFont="1"/>
    <xf numFmtId="0" fontId="0" fillId="0" borderId="10" xfId="0" applyBorder="1"/>
    <xf numFmtId="164" fontId="1" fillId="0" borderId="10" xfId="0" applyNumberFormat="1" applyFont="1" applyBorder="1" applyAlignment="1">
      <alignment horizontal="center"/>
    </xf>
    <xf numFmtId="1" fontId="0" fillId="0" borderId="10" xfId="0" applyNumberFormat="1" applyBorder="1"/>
    <xf numFmtId="0" fontId="1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67" fontId="8" fillId="0" borderId="15" xfId="5" applyNumberFormat="1" applyFont="1" applyBorder="1" applyAlignment="1">
      <alignment horizontal="center"/>
    </xf>
    <xf numFmtId="0" fontId="11" fillId="3" borderId="11" xfId="3" applyBorder="1" applyAlignment="1" applyProtection="1">
      <alignment horizontal="center"/>
      <protection locked="0"/>
    </xf>
    <xf numFmtId="0" fontId="11" fillId="3" borderId="12" xfId="3" applyBorder="1" applyAlignment="1" applyProtection="1">
      <alignment horizontal="center"/>
      <protection locked="0"/>
    </xf>
    <xf numFmtId="164" fontId="11" fillId="3" borderId="11" xfId="3" applyNumberFormat="1" applyBorder="1" applyAlignment="1" applyProtection="1">
      <alignment horizontal="center"/>
      <protection locked="0"/>
    </xf>
    <xf numFmtId="164" fontId="11" fillId="3" borderId="37" xfId="3" applyNumberFormat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164" fontId="0" fillId="0" borderId="10" xfId="0" applyNumberFormat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164" fontId="0" fillId="4" borderId="32" xfId="0" applyNumberFormat="1" applyFill="1" applyBorder="1" applyAlignment="1">
      <alignment horizontal="center" vertical="center"/>
    </xf>
    <xf numFmtId="10" fontId="0" fillId="4" borderId="32" xfId="5" applyNumberFormat="1" applyFont="1" applyFill="1" applyBorder="1" applyAlignment="1">
      <alignment horizontal="center" vertical="center"/>
    </xf>
    <xf numFmtId="168" fontId="0" fillId="4" borderId="0" xfId="0" applyNumberFormat="1" applyFill="1" applyAlignment="1">
      <alignment horizontal="center" vertical="center"/>
    </xf>
    <xf numFmtId="168" fontId="0" fillId="4" borderId="20" xfId="0" applyNumberFormat="1" applyFill="1" applyBorder="1" applyAlignment="1">
      <alignment horizontal="center" vertical="center"/>
    </xf>
    <xf numFmtId="168" fontId="0" fillId="4" borderId="32" xfId="0" applyNumberFormat="1" applyFill="1" applyBorder="1" applyAlignment="1">
      <alignment horizontal="center" vertical="center"/>
    </xf>
    <xf numFmtId="164" fontId="0" fillId="4" borderId="21" xfId="0" applyNumberFormat="1" applyFill="1" applyBorder="1" applyAlignment="1">
      <alignment horizontal="center" vertical="center"/>
    </xf>
    <xf numFmtId="167" fontId="0" fillId="4" borderId="20" xfId="5" applyNumberFormat="1" applyFont="1" applyFill="1" applyBorder="1" applyAlignment="1">
      <alignment horizontal="center" vertical="center"/>
    </xf>
    <xf numFmtId="167" fontId="0" fillId="4" borderId="32" xfId="5" applyNumberFormat="1" applyFont="1" applyFill="1" applyBorder="1" applyAlignment="1">
      <alignment horizontal="center" vertical="center"/>
    </xf>
    <xf numFmtId="1" fontId="0" fillId="4" borderId="20" xfId="0" applyNumberFormat="1" applyFill="1" applyBorder="1" applyAlignment="1">
      <alignment horizontal="center" vertical="center"/>
    </xf>
    <xf numFmtId="1" fontId="0" fillId="4" borderId="32" xfId="0" applyNumberFormat="1" applyFill="1" applyBorder="1" applyAlignment="1">
      <alignment horizontal="center" vertical="center"/>
    </xf>
    <xf numFmtId="1" fontId="0" fillId="4" borderId="21" xfId="0" applyNumberFormat="1" applyFill="1" applyBorder="1" applyAlignment="1">
      <alignment horizontal="center" vertical="center"/>
    </xf>
    <xf numFmtId="164" fontId="0" fillId="4" borderId="25" xfId="0" applyNumberFormat="1" applyFill="1" applyBorder="1" applyAlignment="1">
      <alignment horizontal="center" vertical="center"/>
    </xf>
    <xf numFmtId="10" fontId="0" fillId="4" borderId="25" xfId="5" applyNumberFormat="1" applyFont="1" applyFill="1" applyBorder="1" applyAlignment="1">
      <alignment horizontal="center" vertical="center"/>
    </xf>
    <xf numFmtId="168" fontId="0" fillId="4" borderId="2" xfId="0" applyNumberFormat="1" applyFill="1" applyBorder="1" applyAlignment="1">
      <alignment horizontal="center" vertical="center"/>
    </xf>
    <xf numFmtId="168" fontId="0" fillId="4" borderId="22" xfId="0" applyNumberFormat="1" applyFill="1" applyBorder="1" applyAlignment="1">
      <alignment horizontal="center" vertical="center"/>
    </xf>
    <xf numFmtId="168" fontId="0" fillId="4" borderId="25" xfId="0" applyNumberFormat="1" applyFill="1" applyBorder="1" applyAlignment="1">
      <alignment horizontal="center" vertical="center"/>
    </xf>
    <xf numFmtId="164" fontId="0" fillId="4" borderId="23" xfId="0" applyNumberFormat="1" applyFill="1" applyBorder="1" applyAlignment="1">
      <alignment horizontal="center" vertical="center"/>
    </xf>
    <xf numFmtId="167" fontId="0" fillId="4" borderId="22" xfId="5" applyNumberFormat="1" applyFont="1" applyFill="1" applyBorder="1" applyAlignment="1">
      <alignment horizontal="center" vertical="center"/>
    </xf>
    <xf numFmtId="167" fontId="0" fillId="4" borderId="25" xfId="5" applyNumberFormat="1" applyFont="1" applyFill="1" applyBorder="1" applyAlignment="1">
      <alignment horizontal="center" vertical="center"/>
    </xf>
    <xf numFmtId="1" fontId="0" fillId="4" borderId="22" xfId="0" applyNumberFormat="1" applyFill="1" applyBorder="1" applyAlignment="1">
      <alignment horizontal="center" vertical="center"/>
    </xf>
    <xf numFmtId="1" fontId="0" fillId="4" borderId="25" xfId="0" applyNumberFormat="1" applyFill="1" applyBorder="1" applyAlignment="1">
      <alignment horizontal="center" vertical="center"/>
    </xf>
    <xf numFmtId="1" fontId="0" fillId="4" borderId="23" xfId="0" applyNumberFormat="1" applyFill="1" applyBorder="1" applyAlignment="1">
      <alignment horizontal="center" vertical="center"/>
    </xf>
    <xf numFmtId="167" fontId="15" fillId="3" borderId="10" xfId="5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0" fillId="0" borderId="0" xfId="0" quotePrefix="1"/>
    <xf numFmtId="2" fontId="18" fillId="0" borderId="0" xfId="0" applyNumberFormat="1" applyFont="1"/>
    <xf numFmtId="0" fontId="28" fillId="0" borderId="0" xfId="0" applyFont="1"/>
    <xf numFmtId="164" fontId="11" fillId="3" borderId="9" xfId="7" applyNumberFormat="1"/>
    <xf numFmtId="0" fontId="24" fillId="0" borderId="41" xfId="0" applyFont="1" applyBorder="1" applyAlignment="1">
      <alignment horizontal="center"/>
    </xf>
    <xf numFmtId="0" fontId="24" fillId="0" borderId="42" xfId="0" applyFont="1" applyBorder="1" applyAlignment="1">
      <alignment horizontal="center"/>
    </xf>
    <xf numFmtId="0" fontId="24" fillId="0" borderId="4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53" xfId="0" applyNumberFormat="1" applyBorder="1" applyAlignment="1">
      <alignment horizontal="center"/>
    </xf>
    <xf numFmtId="0" fontId="1" fillId="0" borderId="18" xfId="0" applyFont="1" applyBorder="1"/>
    <xf numFmtId="0" fontId="5" fillId="0" borderId="18" xfId="0" applyFont="1" applyBorder="1"/>
    <xf numFmtId="2" fontId="8" fillId="0" borderId="18" xfId="4" applyNumberFormat="1" applyBorder="1" applyAlignment="1">
      <alignment horizontal="center" vertical="center"/>
    </xf>
    <xf numFmtId="1" fontId="11" fillId="3" borderId="9" xfId="7" applyNumberFormat="1" applyAlignment="1">
      <alignment horizontal="center"/>
    </xf>
    <xf numFmtId="14" fontId="0" fillId="0" borderId="20" xfId="0" applyNumberFormat="1" applyBorder="1"/>
    <xf numFmtId="0" fontId="28" fillId="0" borderId="23" xfId="0" applyFont="1" applyBorder="1" applyAlignment="1">
      <alignment horizontal="right"/>
    </xf>
    <xf numFmtId="0" fontId="19" fillId="0" borderId="0" xfId="0" applyFont="1"/>
    <xf numFmtId="0" fontId="18" fillId="0" borderId="10" xfId="0" applyFont="1" applyBorder="1" applyAlignment="1">
      <alignment horizontal="center"/>
    </xf>
    <xf numFmtId="0" fontId="36" fillId="0" borderId="0" xfId="0" applyFont="1"/>
    <xf numFmtId="0" fontId="18" fillId="0" borderId="25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33" fillId="0" borderId="38" xfId="0" applyFont="1" applyBorder="1" applyAlignment="1">
      <alignment horizontal="center"/>
    </xf>
    <xf numFmtId="0" fontId="34" fillId="0" borderId="38" xfId="0" applyFont="1" applyBorder="1" applyAlignment="1">
      <alignment horizontal="center"/>
    </xf>
    <xf numFmtId="0" fontId="35" fillId="0" borderId="38" xfId="0" applyFont="1" applyBorder="1" applyAlignment="1">
      <alignment horizontal="center"/>
    </xf>
    <xf numFmtId="165" fontId="18" fillId="0" borderId="25" xfId="0" applyNumberFormat="1" applyFont="1" applyBorder="1" applyAlignment="1">
      <alignment horizontal="center"/>
    </xf>
    <xf numFmtId="165" fontId="18" fillId="0" borderId="10" xfId="0" applyNumberFormat="1" applyFont="1" applyBorder="1" applyAlignment="1">
      <alignment horizontal="center"/>
    </xf>
    <xf numFmtId="0" fontId="38" fillId="0" borderId="0" xfId="0" applyFont="1"/>
    <xf numFmtId="0" fontId="18" fillId="0" borderId="0" xfId="0" applyFont="1" applyAlignment="1">
      <alignment horizontal="right"/>
    </xf>
    <xf numFmtId="0" fontId="19" fillId="0" borderId="28" xfId="0" applyFont="1" applyBorder="1" applyAlignment="1">
      <alignment horizontal="left"/>
    </xf>
    <xf numFmtId="0" fontId="18" fillId="0" borderId="10" xfId="0" applyFont="1" applyBorder="1"/>
    <xf numFmtId="0" fontId="19" fillId="0" borderId="27" xfId="0" applyFont="1" applyBorder="1" applyAlignment="1">
      <alignment horizontal="right"/>
    </xf>
    <xf numFmtId="2" fontId="18" fillId="0" borderId="25" xfId="0" applyNumberFormat="1" applyFont="1" applyBorder="1" applyAlignment="1">
      <alignment horizontal="center"/>
    </xf>
    <xf numFmtId="2" fontId="18" fillId="0" borderId="10" xfId="0" applyNumberFormat="1" applyFont="1" applyBorder="1" applyAlignment="1">
      <alignment horizontal="center"/>
    </xf>
    <xf numFmtId="164" fontId="18" fillId="0" borderId="25" xfId="0" applyNumberFormat="1" applyFont="1" applyBorder="1" applyAlignment="1">
      <alignment horizontal="center"/>
    </xf>
    <xf numFmtId="164" fontId="18" fillId="0" borderId="10" xfId="0" applyNumberFormat="1" applyFont="1" applyBorder="1" applyAlignment="1">
      <alignment horizontal="center"/>
    </xf>
    <xf numFmtId="2" fontId="18" fillId="3" borderId="10" xfId="0" applyNumberFormat="1" applyFont="1" applyFill="1" applyBorder="1" applyAlignment="1">
      <alignment horizontal="center"/>
    </xf>
    <xf numFmtId="164" fontId="18" fillId="3" borderId="10" xfId="0" applyNumberFormat="1" applyFont="1" applyFill="1" applyBorder="1" applyAlignment="1">
      <alignment horizontal="center"/>
    </xf>
    <xf numFmtId="164" fontId="18" fillId="0" borderId="0" xfId="0" applyNumberFormat="1" applyFont="1"/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center"/>
    </xf>
    <xf numFmtId="169" fontId="19" fillId="5" borderId="10" xfId="0" applyNumberFormat="1" applyFont="1" applyFill="1" applyBorder="1" applyAlignment="1">
      <alignment horizontal="center"/>
    </xf>
    <xf numFmtId="0" fontId="18" fillId="0" borderId="0" xfId="0" quotePrefix="1" applyFont="1"/>
    <xf numFmtId="2" fontId="18" fillId="0" borderId="0" xfId="0" applyNumberFormat="1" applyFont="1" applyAlignment="1">
      <alignment horizontal="center"/>
    </xf>
    <xf numFmtId="0" fontId="19" fillId="0" borderId="10" xfId="0" applyFont="1" applyBorder="1"/>
    <xf numFmtId="0" fontId="19" fillId="0" borderId="25" xfId="0" applyFont="1" applyBorder="1"/>
    <xf numFmtId="0" fontId="8" fillId="0" borderId="0" xfId="4" applyBorder="1" applyAlignment="1">
      <alignment horizontal="left"/>
    </xf>
    <xf numFmtId="0" fontId="18" fillId="0" borderId="0" xfId="0" applyFont="1" applyAlignment="1">
      <alignment horizontal="left" indent="2"/>
    </xf>
    <xf numFmtId="0" fontId="19" fillId="0" borderId="0" xfId="0" applyFont="1" applyAlignment="1">
      <alignment horizontal="left" indent="2"/>
    </xf>
    <xf numFmtId="166" fontId="18" fillId="0" borderId="0" xfId="0" applyNumberFormat="1" applyFont="1" applyAlignment="1">
      <alignment horizontal="center"/>
    </xf>
    <xf numFmtId="0" fontId="18" fillId="0" borderId="39" xfId="0" applyFont="1" applyBorder="1"/>
    <xf numFmtId="0" fontId="7" fillId="3" borderId="8" xfId="2" applyAlignment="1">
      <alignment horizontal="center"/>
    </xf>
    <xf numFmtId="0" fontId="18" fillId="0" borderId="0" xfId="0" applyFont="1" applyAlignment="1">
      <alignment horizontal="center"/>
    </xf>
    <xf numFmtId="169" fontId="18" fillId="0" borderId="0" xfId="0" applyNumberFormat="1" applyFont="1"/>
    <xf numFmtId="164" fontId="19" fillId="5" borderId="10" xfId="0" applyNumberFormat="1" applyFont="1" applyFill="1" applyBorder="1"/>
    <xf numFmtId="0" fontId="29" fillId="6" borderId="62" xfId="4" applyFont="1" applyFill="1" applyBorder="1" applyAlignment="1">
      <alignment horizontal="center"/>
    </xf>
    <xf numFmtId="0" fontId="29" fillId="6" borderId="66" xfId="4" applyFont="1" applyFill="1" applyBorder="1" applyAlignment="1">
      <alignment horizontal="center"/>
    </xf>
    <xf numFmtId="0" fontId="37" fillId="6" borderId="66" xfId="4" applyFont="1" applyFill="1" applyBorder="1" applyAlignment="1">
      <alignment horizontal="center"/>
    </xf>
    <xf numFmtId="0" fontId="29" fillId="6" borderId="68" xfId="4" applyFont="1" applyFill="1" applyBorder="1" applyAlignment="1">
      <alignment horizontal="center"/>
    </xf>
    <xf numFmtId="0" fontId="37" fillId="6" borderId="68" xfId="4" applyFont="1" applyFill="1" applyBorder="1" applyAlignment="1">
      <alignment horizontal="center"/>
    </xf>
    <xf numFmtId="2" fontId="30" fillId="6" borderId="63" xfId="4" applyNumberFormat="1" applyFont="1" applyFill="1" applyBorder="1" applyAlignment="1">
      <alignment horizontal="center"/>
    </xf>
    <xf numFmtId="164" fontId="31" fillId="6" borderId="67" xfId="4" applyNumberFormat="1" applyFont="1" applyFill="1" applyBorder="1" applyAlignment="1">
      <alignment horizontal="center"/>
    </xf>
    <xf numFmtId="164" fontId="36" fillId="6" borderId="67" xfId="4" applyNumberFormat="1" applyFont="1" applyFill="1" applyBorder="1" applyAlignment="1">
      <alignment horizontal="center"/>
    </xf>
    <xf numFmtId="1" fontId="30" fillId="6" borderId="67" xfId="4" applyNumberFormat="1" applyFont="1" applyFill="1" applyBorder="1" applyAlignment="1">
      <alignment horizontal="center"/>
    </xf>
    <xf numFmtId="2" fontId="36" fillId="6" borderId="67" xfId="4" applyNumberFormat="1" applyFont="1" applyFill="1" applyBorder="1" applyAlignment="1">
      <alignment horizontal="center"/>
    </xf>
    <xf numFmtId="2" fontId="30" fillId="6" borderId="64" xfId="4" applyNumberFormat="1" applyFont="1" applyFill="1" applyBorder="1" applyAlignment="1">
      <alignment horizontal="center"/>
    </xf>
    <xf numFmtId="2" fontId="30" fillId="6" borderId="65" xfId="4" applyNumberFormat="1" applyFont="1" applyFill="1" applyBorder="1" applyAlignment="1">
      <alignment horizontal="center"/>
    </xf>
    <xf numFmtId="2" fontId="30" fillId="6" borderId="62" xfId="4" applyNumberFormat="1" applyFont="1" applyFill="1" applyBorder="1" applyAlignment="1">
      <alignment horizontal="center"/>
    </xf>
    <xf numFmtId="164" fontId="31" fillId="6" borderId="60" xfId="4" applyNumberFormat="1" applyFont="1" applyFill="1" applyBorder="1" applyAlignment="1">
      <alignment horizontal="center"/>
    </xf>
    <xf numFmtId="164" fontId="36" fillId="6" borderId="60" xfId="4" applyNumberFormat="1" applyFont="1" applyFill="1" applyBorder="1" applyAlignment="1">
      <alignment horizontal="center"/>
    </xf>
    <xf numFmtId="1" fontId="30" fillId="6" borderId="60" xfId="4" applyNumberFormat="1" applyFont="1" applyFill="1" applyBorder="1" applyAlignment="1">
      <alignment horizontal="center"/>
    </xf>
    <xf numFmtId="2" fontId="36" fillId="6" borderId="60" xfId="4" applyNumberFormat="1" applyFont="1" applyFill="1" applyBorder="1" applyAlignment="1">
      <alignment horizontal="center"/>
    </xf>
    <xf numFmtId="164" fontId="31" fillId="6" borderId="69" xfId="4" applyNumberFormat="1" applyFont="1" applyFill="1" applyBorder="1" applyAlignment="1">
      <alignment horizontal="center"/>
    </xf>
    <xf numFmtId="164" fontId="36" fillId="6" borderId="69" xfId="4" applyNumberFormat="1" applyFont="1" applyFill="1" applyBorder="1" applyAlignment="1">
      <alignment horizontal="center"/>
    </xf>
    <xf numFmtId="1" fontId="30" fillId="6" borderId="69" xfId="4" applyNumberFormat="1" applyFont="1" applyFill="1" applyBorder="1" applyAlignment="1">
      <alignment horizontal="center"/>
    </xf>
    <xf numFmtId="2" fontId="36" fillId="6" borderId="69" xfId="4" applyNumberFormat="1" applyFont="1" applyFill="1" applyBorder="1" applyAlignment="1">
      <alignment horizontal="center"/>
    </xf>
    <xf numFmtId="164" fontId="18" fillId="6" borderId="5" xfId="0" applyNumberFormat="1" applyFont="1" applyFill="1" applyBorder="1" applyAlignment="1">
      <alignment horizontal="center"/>
    </xf>
    <xf numFmtId="164" fontId="18" fillId="6" borderId="0" xfId="0" applyNumberFormat="1" applyFont="1" applyFill="1" applyAlignment="1">
      <alignment horizontal="center"/>
    </xf>
    <xf numFmtId="164" fontId="18" fillId="6" borderId="59" xfId="0" applyNumberFormat="1" applyFont="1" applyFill="1" applyBorder="1" applyAlignment="1">
      <alignment horizontal="center"/>
    </xf>
    <xf numFmtId="2" fontId="18" fillId="6" borderId="59" xfId="0" applyNumberFormat="1" applyFont="1" applyFill="1" applyBorder="1" applyAlignment="1">
      <alignment horizontal="center"/>
    </xf>
    <xf numFmtId="164" fontId="18" fillId="6" borderId="6" xfId="0" applyNumberFormat="1" applyFont="1" applyFill="1" applyBorder="1" applyAlignment="1">
      <alignment horizontal="center"/>
    </xf>
    <xf numFmtId="164" fontId="18" fillId="6" borderId="7" xfId="0" applyNumberFormat="1" applyFont="1" applyFill="1" applyBorder="1" applyAlignment="1">
      <alignment horizontal="center"/>
    </xf>
    <xf numFmtId="164" fontId="18" fillId="6" borderId="60" xfId="0" applyNumberFormat="1" applyFont="1" applyFill="1" applyBorder="1" applyAlignment="1">
      <alignment horizontal="center"/>
    </xf>
    <xf numFmtId="2" fontId="18" fillId="6" borderId="60" xfId="0" applyNumberFormat="1" applyFont="1" applyFill="1" applyBorder="1" applyAlignment="1">
      <alignment horizontal="center"/>
    </xf>
    <xf numFmtId="164" fontId="18" fillId="6" borderId="3" xfId="0" applyNumberFormat="1" applyFont="1" applyFill="1" applyBorder="1" applyAlignment="1">
      <alignment horizontal="center"/>
    </xf>
    <xf numFmtId="164" fontId="18" fillId="6" borderId="4" xfId="0" applyNumberFormat="1" applyFont="1" applyFill="1" applyBorder="1" applyAlignment="1">
      <alignment horizontal="center"/>
    </xf>
    <xf numFmtId="164" fontId="18" fillId="6" borderId="58" xfId="0" applyNumberFormat="1" applyFont="1" applyFill="1" applyBorder="1" applyAlignment="1">
      <alignment horizontal="center"/>
    </xf>
    <xf numFmtId="2" fontId="18" fillId="6" borderId="58" xfId="0" applyNumberFormat="1" applyFont="1" applyFill="1" applyBorder="1" applyAlignment="1">
      <alignment horizontal="center"/>
    </xf>
    <xf numFmtId="0" fontId="18" fillId="6" borderId="58" xfId="0" applyFont="1" applyFill="1" applyBorder="1" applyAlignment="1">
      <alignment vertical="center"/>
    </xf>
    <xf numFmtId="0" fontId="18" fillId="6" borderId="59" xfId="0" applyFont="1" applyFill="1" applyBorder="1" applyAlignment="1">
      <alignment vertical="center"/>
    </xf>
    <xf numFmtId="0" fontId="18" fillId="6" borderId="60" xfId="0" applyFont="1" applyFill="1" applyBorder="1" applyAlignment="1">
      <alignment vertical="center"/>
    </xf>
    <xf numFmtId="0" fontId="19" fillId="6" borderId="3" xfId="0" applyFont="1" applyFill="1" applyBorder="1" applyAlignment="1">
      <alignment horizontal="center"/>
    </xf>
    <xf numFmtId="0" fontId="19" fillId="6" borderId="4" xfId="0" applyFont="1" applyFill="1" applyBorder="1" applyAlignment="1">
      <alignment horizontal="center"/>
    </xf>
    <xf numFmtId="0" fontId="19" fillId="6" borderId="58" xfId="0" applyFont="1" applyFill="1" applyBorder="1"/>
    <xf numFmtId="0" fontId="0" fillId="0" borderId="0" xfId="0" applyAlignment="1">
      <alignment wrapText="1"/>
    </xf>
    <xf numFmtId="2" fontId="22" fillId="6" borderId="45" xfId="0" applyNumberFormat="1" applyFont="1" applyFill="1" applyBorder="1" applyAlignment="1">
      <alignment horizontal="center" vertical="center"/>
    </xf>
    <xf numFmtId="164" fontId="22" fillId="6" borderId="46" xfId="0" applyNumberFormat="1" applyFont="1" applyFill="1" applyBorder="1" applyAlignment="1">
      <alignment horizontal="center" vertical="center"/>
    </xf>
    <xf numFmtId="164" fontId="22" fillId="6" borderId="47" xfId="0" applyNumberFormat="1" applyFont="1" applyFill="1" applyBorder="1" applyAlignment="1">
      <alignment horizontal="center" vertical="center"/>
    </xf>
    <xf numFmtId="2" fontId="52" fillId="6" borderId="45" xfId="0" applyNumberFormat="1" applyFont="1" applyFill="1" applyBorder="1" applyAlignment="1">
      <alignment horizontal="center" vertical="center"/>
    </xf>
    <xf numFmtId="164" fontId="52" fillId="6" borderId="46" xfId="0" applyNumberFormat="1" applyFont="1" applyFill="1" applyBorder="1" applyAlignment="1">
      <alignment horizontal="center" vertical="center"/>
    </xf>
    <xf numFmtId="164" fontId="52" fillId="6" borderId="47" xfId="0" applyNumberFormat="1" applyFont="1" applyFill="1" applyBorder="1" applyAlignment="1">
      <alignment horizontal="center" vertical="center"/>
    </xf>
    <xf numFmtId="164" fontId="22" fillId="6" borderId="71" xfId="0" applyNumberFormat="1" applyFont="1" applyFill="1" applyBorder="1" applyAlignment="1">
      <alignment horizontal="center" vertical="center"/>
    </xf>
    <xf numFmtId="164" fontId="22" fillId="6" borderId="45" xfId="0" applyNumberFormat="1" applyFont="1" applyFill="1" applyBorder="1" applyAlignment="1">
      <alignment horizontal="center" vertical="center"/>
    </xf>
    <xf numFmtId="164" fontId="22" fillId="6" borderId="72" xfId="0" applyNumberFormat="1" applyFont="1" applyFill="1" applyBorder="1" applyAlignment="1">
      <alignment horizontal="center" vertical="center"/>
    </xf>
    <xf numFmtId="2" fontId="22" fillId="6" borderId="73" xfId="0" applyNumberFormat="1" applyFont="1" applyFill="1" applyBorder="1" applyAlignment="1">
      <alignment horizontal="center" vertical="center"/>
    </xf>
    <xf numFmtId="164" fontId="22" fillId="6" borderId="74" xfId="0" applyNumberFormat="1" applyFont="1" applyFill="1" applyBorder="1" applyAlignment="1">
      <alignment horizontal="center" vertical="center"/>
    </xf>
    <xf numFmtId="164" fontId="22" fillId="6" borderId="75" xfId="0" applyNumberFormat="1" applyFont="1" applyFill="1" applyBorder="1" applyAlignment="1">
      <alignment horizontal="center" vertical="center"/>
    </xf>
    <xf numFmtId="2" fontId="52" fillId="6" borderId="73" xfId="0" applyNumberFormat="1" applyFont="1" applyFill="1" applyBorder="1" applyAlignment="1">
      <alignment horizontal="center" vertical="center"/>
    </xf>
    <xf numFmtId="164" fontId="52" fillId="6" borderId="74" xfId="0" applyNumberFormat="1" applyFont="1" applyFill="1" applyBorder="1" applyAlignment="1">
      <alignment horizontal="center" vertical="center"/>
    </xf>
    <xf numFmtId="164" fontId="52" fillId="6" borderId="75" xfId="0" applyNumberFormat="1" applyFont="1" applyFill="1" applyBorder="1" applyAlignment="1">
      <alignment horizontal="center" vertical="center"/>
    </xf>
    <xf numFmtId="164" fontId="22" fillId="6" borderId="76" xfId="0" applyNumberFormat="1" applyFont="1" applyFill="1" applyBorder="1" applyAlignment="1">
      <alignment horizontal="center" vertical="center"/>
    </xf>
    <xf numFmtId="164" fontId="22" fillId="6" borderId="73" xfId="0" applyNumberFormat="1" applyFont="1" applyFill="1" applyBorder="1" applyAlignment="1">
      <alignment horizontal="center" vertical="center"/>
    </xf>
    <xf numFmtId="164" fontId="22" fillId="6" borderId="77" xfId="0" applyNumberFormat="1" applyFont="1" applyFill="1" applyBorder="1" applyAlignment="1">
      <alignment horizontal="center" vertical="center"/>
    </xf>
    <xf numFmtId="2" fontId="22" fillId="6" borderId="49" xfId="0" applyNumberFormat="1" applyFont="1" applyFill="1" applyBorder="1" applyAlignment="1">
      <alignment horizontal="center" vertical="center"/>
    </xf>
    <xf numFmtId="164" fontId="22" fillId="6" borderId="50" xfId="0" applyNumberFormat="1" applyFont="1" applyFill="1" applyBorder="1" applyAlignment="1">
      <alignment horizontal="center" vertical="center"/>
    </xf>
    <xf numFmtId="164" fontId="22" fillId="6" borderId="51" xfId="0" applyNumberFormat="1" applyFont="1" applyFill="1" applyBorder="1" applyAlignment="1">
      <alignment horizontal="center" vertical="center"/>
    </xf>
    <xf numFmtId="2" fontId="52" fillId="6" borderId="49" xfId="0" applyNumberFormat="1" applyFont="1" applyFill="1" applyBorder="1" applyAlignment="1">
      <alignment horizontal="center" vertical="center"/>
    </xf>
    <xf numFmtId="164" fontId="52" fillId="6" borderId="50" xfId="0" applyNumberFormat="1" applyFont="1" applyFill="1" applyBorder="1" applyAlignment="1">
      <alignment horizontal="center" vertical="center"/>
    </xf>
    <xf numFmtId="164" fontId="52" fillId="6" borderId="51" xfId="0" applyNumberFormat="1" applyFont="1" applyFill="1" applyBorder="1" applyAlignment="1">
      <alignment horizontal="center" vertical="center"/>
    </xf>
    <xf numFmtId="164" fontId="22" fillId="6" borderId="56" xfId="0" applyNumberFormat="1" applyFont="1" applyFill="1" applyBorder="1" applyAlignment="1">
      <alignment horizontal="center" vertical="center"/>
    </xf>
    <xf numFmtId="164" fontId="22" fillId="6" borderId="49" xfId="0" applyNumberFormat="1" applyFont="1" applyFill="1" applyBorder="1" applyAlignment="1">
      <alignment horizontal="center" vertical="center"/>
    </xf>
    <xf numFmtId="164" fontId="22" fillId="6" borderId="54" xfId="0" applyNumberFormat="1" applyFont="1" applyFill="1" applyBorder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0" fontId="0" fillId="5" borderId="10" xfId="0" applyFill="1" applyBorder="1" applyAlignment="1">
      <alignment horizontal="center"/>
    </xf>
    <xf numFmtId="2" fontId="0" fillId="0" borderId="0" xfId="0" quotePrefix="1" applyNumberFormat="1"/>
    <xf numFmtId="164" fontId="1" fillId="5" borderId="10" xfId="0" applyNumberFormat="1" applyFont="1" applyFill="1" applyBorder="1" applyAlignment="1">
      <alignment horizontal="center"/>
    </xf>
    <xf numFmtId="164" fontId="0" fillId="0" borderId="85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86" xfId="0" applyNumberFormat="1" applyBorder="1" applyAlignment="1">
      <alignment horizontal="center"/>
    </xf>
    <xf numFmtId="164" fontId="0" fillId="0" borderId="87" xfId="0" applyNumberFormat="1" applyBorder="1" applyAlignment="1">
      <alignment horizontal="center"/>
    </xf>
    <xf numFmtId="164" fontId="0" fillId="0" borderId="88" xfId="0" applyNumberFormat="1" applyBorder="1" applyAlignment="1">
      <alignment horizontal="center"/>
    </xf>
    <xf numFmtId="164" fontId="0" fillId="0" borderId="89" xfId="0" applyNumberFormat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164" fontId="0" fillId="0" borderId="90" xfId="0" applyNumberFormat="1" applyBorder="1" applyAlignment="1">
      <alignment horizontal="center"/>
    </xf>
    <xf numFmtId="164" fontId="0" fillId="0" borderId="91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97" xfId="0" applyNumberFormat="1" applyBorder="1" applyAlignment="1">
      <alignment horizontal="center"/>
    </xf>
    <xf numFmtId="164" fontId="0" fillId="0" borderId="98" xfId="0" applyNumberFormat="1" applyBorder="1" applyAlignment="1">
      <alignment horizontal="center"/>
    </xf>
    <xf numFmtId="170" fontId="1" fillId="3" borderId="61" xfId="0" applyNumberFormat="1" applyFont="1" applyFill="1" applyBorder="1" applyAlignment="1">
      <alignment horizontal="center"/>
    </xf>
    <xf numFmtId="1" fontId="0" fillId="3" borderId="23" xfId="0" applyNumberFormat="1" applyFill="1" applyBorder="1" applyAlignment="1">
      <alignment horizontal="center"/>
    </xf>
    <xf numFmtId="1" fontId="0" fillId="3" borderId="25" xfId="0" applyNumberFormat="1" applyFill="1" applyBorder="1" applyAlignment="1">
      <alignment horizontal="center"/>
    </xf>
    <xf numFmtId="1" fontId="0" fillId="3" borderId="95" xfId="0" applyNumberFormat="1" applyFill="1" applyBorder="1" applyAlignment="1">
      <alignment horizontal="center"/>
    </xf>
    <xf numFmtId="170" fontId="1" fillId="3" borderId="93" xfId="0" applyNumberFormat="1" applyFont="1" applyFill="1" applyBorder="1" applyAlignment="1">
      <alignment horizontal="center"/>
    </xf>
    <xf numFmtId="1" fontId="0" fillId="3" borderId="28" xfId="0" applyNumberFormat="1" applyFill="1" applyBorder="1" applyAlignment="1">
      <alignment horizontal="center"/>
    </xf>
    <xf numFmtId="1" fontId="0" fillId="3" borderId="10" xfId="0" applyNumberFormat="1" applyFill="1" applyBorder="1" applyAlignment="1">
      <alignment horizontal="center"/>
    </xf>
    <xf numFmtId="1" fontId="0" fillId="3" borderId="88" xfId="0" applyNumberFormat="1" applyFill="1" applyBorder="1" applyAlignment="1">
      <alignment horizontal="center"/>
    </xf>
    <xf numFmtId="170" fontId="1" fillId="3" borderId="94" xfId="0" applyNumberFormat="1" applyFont="1" applyFill="1" applyBorder="1" applyAlignment="1">
      <alignment horizontal="center"/>
    </xf>
    <xf numFmtId="1" fontId="0" fillId="3" borderId="92" xfId="0" applyNumberFormat="1" applyFill="1" applyBorder="1" applyAlignment="1">
      <alignment horizontal="center"/>
    </xf>
    <xf numFmtId="1" fontId="0" fillId="3" borderId="38" xfId="0" applyNumberFormat="1" applyFill="1" applyBorder="1" applyAlignment="1">
      <alignment horizontal="center"/>
    </xf>
    <xf numFmtId="1" fontId="0" fillId="3" borderId="90" xfId="0" applyNumberFormat="1" applyFill="1" applyBorder="1" applyAlignment="1">
      <alignment horizontal="center"/>
    </xf>
    <xf numFmtId="1" fontId="1" fillId="5" borderId="10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7" borderId="25" xfId="0" applyNumberFormat="1" applyFont="1" applyFill="1" applyBorder="1" applyAlignment="1">
      <alignment horizontal="center"/>
    </xf>
    <xf numFmtId="0" fontId="52" fillId="0" borderId="0" xfId="0" applyFont="1"/>
    <xf numFmtId="0" fontId="52" fillId="0" borderId="0" xfId="0" applyFont="1" applyAlignment="1">
      <alignment horizontal="center"/>
    </xf>
    <xf numFmtId="1" fontId="22" fillId="3" borderId="25" xfId="0" applyNumberFormat="1" applyFont="1" applyFill="1" applyBorder="1" applyAlignment="1">
      <alignment horizontal="center"/>
    </xf>
    <xf numFmtId="1" fontId="22" fillId="3" borderId="10" xfId="0" applyNumberFormat="1" applyFont="1" applyFill="1" applyBorder="1" applyAlignment="1">
      <alignment horizontal="center"/>
    </xf>
    <xf numFmtId="1" fontId="22" fillId="3" borderId="38" xfId="0" applyNumberFormat="1" applyFont="1" applyFill="1" applyBorder="1" applyAlignment="1">
      <alignment horizontal="center"/>
    </xf>
    <xf numFmtId="0" fontId="1" fillId="0" borderId="44" xfId="0" applyFont="1" applyBorder="1" applyAlignment="1">
      <alignment vertical="center"/>
    </xf>
    <xf numFmtId="1" fontId="0" fillId="0" borderId="44" xfId="0" applyNumberFormat="1" applyBorder="1" applyAlignment="1">
      <alignment horizontal="center" vertical="center"/>
    </xf>
    <xf numFmtId="1" fontId="1" fillId="0" borderId="44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1" fontId="0" fillId="0" borderId="48" xfId="0" applyNumberFormat="1" applyBorder="1" applyAlignment="1">
      <alignment horizontal="center" vertical="center"/>
    </xf>
    <xf numFmtId="1" fontId="1" fillId="0" borderId="48" xfId="0" applyNumberFormat="1" applyFont="1" applyBorder="1" applyAlignment="1">
      <alignment horizontal="center" vertical="center"/>
    </xf>
    <xf numFmtId="0" fontId="1" fillId="0" borderId="52" xfId="0" applyFont="1" applyBorder="1" applyAlignment="1">
      <alignment vertical="center"/>
    </xf>
    <xf numFmtId="1" fontId="0" fillId="0" borderId="52" xfId="0" applyNumberFormat="1" applyBorder="1" applyAlignment="1">
      <alignment horizontal="center" vertical="center"/>
    </xf>
    <xf numFmtId="1" fontId="0" fillId="0" borderId="55" xfId="0" applyNumberFormat="1" applyBorder="1" applyAlignment="1">
      <alignment horizontal="center" vertical="center"/>
    </xf>
    <xf numFmtId="1" fontId="0" fillId="0" borderId="57" xfId="0" applyNumberFormat="1" applyBorder="1" applyAlignment="1">
      <alignment horizontal="center" vertical="center"/>
    </xf>
    <xf numFmtId="1" fontId="1" fillId="0" borderId="52" xfId="0" applyNumberFormat="1" applyFont="1" applyBorder="1" applyAlignment="1">
      <alignment horizontal="center" vertical="center"/>
    </xf>
    <xf numFmtId="1" fontId="0" fillId="0" borderId="54" xfId="0" applyNumberFormat="1" applyBorder="1" applyAlignment="1">
      <alignment horizontal="center" vertical="center"/>
    </xf>
    <xf numFmtId="1" fontId="0" fillId="0" borderId="56" xfId="0" applyNumberForma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1" fontId="0" fillId="0" borderId="27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64" fontId="24" fillId="6" borderId="46" xfId="0" applyNumberFormat="1" applyFont="1" applyFill="1" applyBorder="1" applyAlignment="1">
      <alignment horizontal="center" vertical="center"/>
    </xf>
    <xf numFmtId="164" fontId="24" fillId="6" borderId="74" xfId="0" applyNumberFormat="1" applyFont="1" applyFill="1" applyBorder="1" applyAlignment="1">
      <alignment horizontal="center" vertical="center"/>
    </xf>
    <xf numFmtId="164" fontId="24" fillId="6" borderId="50" xfId="0" applyNumberFormat="1" applyFont="1" applyFill="1" applyBorder="1" applyAlignment="1">
      <alignment horizontal="center" vertical="center"/>
    </xf>
    <xf numFmtId="164" fontId="24" fillId="6" borderId="44" xfId="0" applyNumberFormat="1" applyFont="1" applyFill="1" applyBorder="1" applyAlignment="1">
      <alignment horizontal="center" vertical="center"/>
    </xf>
    <xf numFmtId="164" fontId="24" fillId="6" borderId="78" xfId="0" applyNumberFormat="1" applyFont="1" applyFill="1" applyBorder="1" applyAlignment="1">
      <alignment horizontal="center" vertical="center"/>
    </xf>
    <xf numFmtId="164" fontId="24" fillId="6" borderId="48" xfId="0" applyNumberFormat="1" applyFont="1" applyFill="1" applyBorder="1" applyAlignment="1">
      <alignment horizontal="center" vertical="center"/>
    </xf>
    <xf numFmtId="0" fontId="1" fillId="6" borderId="10" xfId="0" applyFont="1" applyFill="1" applyBorder="1"/>
    <xf numFmtId="169" fontId="0" fillId="0" borderId="0" xfId="0" applyNumberFormat="1" applyAlignment="1">
      <alignment horizontal="center"/>
    </xf>
    <xf numFmtId="2" fontId="0" fillId="0" borderId="2" xfId="0" applyNumberFormat="1" applyBorder="1"/>
    <xf numFmtId="2" fontId="0" fillId="0" borderId="13" xfId="0" applyNumberFormat="1" applyBorder="1"/>
    <xf numFmtId="164" fontId="52" fillId="0" borderId="10" xfId="0" applyNumberFormat="1" applyFont="1" applyBorder="1"/>
    <xf numFmtId="0" fontId="52" fillId="0" borderId="0" xfId="0" quotePrefix="1" applyFont="1"/>
    <xf numFmtId="0" fontId="49" fillId="0" borderId="0" xfId="0" applyFont="1" applyAlignment="1">
      <alignment horizontal="right"/>
    </xf>
    <xf numFmtId="164" fontId="49" fillId="5" borderId="10" xfId="0" applyNumberFormat="1" applyFont="1" applyFill="1" applyBorder="1" applyAlignment="1">
      <alignment horizontal="center"/>
    </xf>
    <xf numFmtId="0" fontId="49" fillId="0" borderId="0" xfId="0" applyFont="1"/>
    <xf numFmtId="0" fontId="52" fillId="0" borderId="10" xfId="0" applyFont="1" applyBorder="1" applyAlignment="1">
      <alignment horizontal="center"/>
    </xf>
    <xf numFmtId="0" fontId="52" fillId="5" borderId="10" xfId="0" applyFont="1" applyFill="1" applyBorder="1" applyAlignment="1">
      <alignment horizontal="center"/>
    </xf>
    <xf numFmtId="0" fontId="27" fillId="0" borderId="2" xfId="0" applyFont="1" applyBorder="1"/>
    <xf numFmtId="164" fontId="1" fillId="0" borderId="0" xfId="0" applyNumberFormat="1" applyFont="1"/>
    <xf numFmtId="2" fontId="0" fillId="0" borderId="10" xfId="0" applyNumberFormat="1" applyBorder="1"/>
    <xf numFmtId="164" fontId="8" fillId="0" borderId="9" xfId="4" applyNumberFormat="1" applyAlignment="1">
      <alignment horizontal="center" vertical="center"/>
    </xf>
    <xf numFmtId="2" fontId="8" fillId="0" borderId="9" xfId="4" applyNumberFormat="1" applyAlignment="1">
      <alignment horizontal="center" vertical="center"/>
    </xf>
    <xf numFmtId="0" fontId="19" fillId="0" borderId="70" xfId="0" applyFont="1" applyBorder="1" applyAlignment="1">
      <alignment horizontal="center"/>
    </xf>
    <xf numFmtId="164" fontId="19" fillId="0" borderId="93" xfId="0" applyNumberFormat="1" applyFont="1" applyBorder="1" applyAlignment="1">
      <alignment horizontal="center"/>
    </xf>
    <xf numFmtId="164" fontId="19" fillId="0" borderId="94" xfId="0" applyNumberFormat="1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8" fillId="0" borderId="27" xfId="0" applyFont="1" applyBorder="1" applyAlignment="1">
      <alignment horizontal="center"/>
    </xf>
    <xf numFmtId="0" fontId="0" fillId="0" borderId="100" xfId="0" applyBorder="1"/>
    <xf numFmtId="0" fontId="0" fillId="0" borderId="99" xfId="0" applyBorder="1"/>
    <xf numFmtId="164" fontId="8" fillId="0" borderId="101" xfId="4" applyNumberFormat="1" applyBorder="1" applyAlignment="1">
      <alignment horizontal="center"/>
    </xf>
    <xf numFmtId="164" fontId="8" fillId="0" borderId="102" xfId="4" applyNumberFormat="1" applyBorder="1" applyAlignment="1">
      <alignment horizontal="center"/>
    </xf>
    <xf numFmtId="0" fontId="0" fillId="0" borderId="103" xfId="0" applyBorder="1"/>
    <xf numFmtId="2" fontId="1" fillId="0" borderId="0" xfId="0" applyNumberFormat="1" applyFont="1"/>
    <xf numFmtId="166" fontId="7" fillId="3" borderId="8" xfId="2" applyNumberFormat="1" applyAlignment="1">
      <alignment horizontal="center"/>
    </xf>
    <xf numFmtId="164" fontId="0" fillId="0" borderId="0" xfId="0" applyNumberFormat="1" applyAlignment="1">
      <alignment horizontal="left"/>
    </xf>
    <xf numFmtId="14" fontId="0" fillId="0" borderId="20" xfId="0" applyNumberFormat="1" applyBorder="1" applyAlignment="1">
      <alignment horizontal="left"/>
    </xf>
    <xf numFmtId="9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7" fontId="37" fillId="0" borderId="10" xfId="5" applyNumberFormat="1" applyFont="1" applyBorder="1" applyAlignment="1">
      <alignment horizontal="center"/>
    </xf>
    <xf numFmtId="0" fontId="0" fillId="0" borderId="2" xfId="0" applyBorder="1" applyAlignment="1">
      <alignment horizontal="left"/>
    </xf>
    <xf numFmtId="1" fontId="0" fillId="0" borderId="25" xfId="0" applyNumberFormat="1" applyBorder="1" applyAlignment="1">
      <alignment horizontal="center"/>
    </xf>
    <xf numFmtId="0" fontId="1" fillId="0" borderId="25" xfId="0" applyFont="1" applyBorder="1" applyAlignment="1">
      <alignment horizontal="left"/>
    </xf>
    <xf numFmtId="164" fontId="54" fillId="6" borderId="67" xfId="4" applyNumberFormat="1" applyFont="1" applyFill="1" applyBorder="1" applyAlignment="1">
      <alignment horizontal="center"/>
    </xf>
    <xf numFmtId="164" fontId="54" fillId="6" borderId="60" xfId="4" applyNumberFormat="1" applyFont="1" applyFill="1" applyBorder="1" applyAlignment="1">
      <alignment horizontal="center"/>
    </xf>
    <xf numFmtId="2" fontId="54" fillId="4" borderId="67" xfId="4" applyNumberFormat="1" applyFont="1" applyFill="1" applyBorder="1" applyAlignment="1">
      <alignment horizontal="center"/>
    </xf>
    <xf numFmtId="2" fontId="54" fillId="4" borderId="60" xfId="4" applyNumberFormat="1" applyFont="1" applyFill="1" applyBorder="1" applyAlignment="1">
      <alignment horizontal="center"/>
    </xf>
    <xf numFmtId="0" fontId="29" fillId="6" borderId="104" xfId="4" applyFont="1" applyFill="1" applyBorder="1" applyAlignment="1">
      <alignment horizontal="center"/>
    </xf>
    <xf numFmtId="0" fontId="29" fillId="6" borderId="105" xfId="4" applyFont="1" applyFill="1" applyBorder="1" applyAlignment="1">
      <alignment horizontal="center"/>
    </xf>
    <xf numFmtId="0" fontId="53" fillId="6" borderId="105" xfId="4" applyFont="1" applyFill="1" applyBorder="1" applyAlignment="1">
      <alignment horizontal="center"/>
    </xf>
    <xf numFmtId="0" fontId="53" fillId="4" borderId="106" xfId="4" applyFont="1" applyFill="1" applyBorder="1" applyAlignment="1">
      <alignment horizontal="center"/>
    </xf>
    <xf numFmtId="0" fontId="54" fillId="0" borderId="0" xfId="0" applyFont="1"/>
    <xf numFmtId="164" fontId="54" fillId="6" borderId="69" xfId="4" applyNumberFormat="1" applyFont="1" applyFill="1" applyBorder="1" applyAlignment="1">
      <alignment horizontal="center"/>
    </xf>
    <xf numFmtId="0" fontId="2" fillId="2" borderId="10" xfId="1" applyBorder="1" applyAlignment="1">
      <alignment horizontal="center"/>
    </xf>
    <xf numFmtId="0" fontId="18" fillId="0" borderId="24" xfId="0" applyFont="1" applyBorder="1" applyAlignment="1">
      <alignment horizontal="center"/>
    </xf>
    <xf numFmtId="164" fontId="2" fillId="2" borderId="10" xfId="1" applyNumberFormat="1" applyBorder="1" applyAlignment="1">
      <alignment horizontal="center"/>
    </xf>
    <xf numFmtId="0" fontId="19" fillId="0" borderId="3" xfId="0" applyFont="1" applyBorder="1"/>
    <xf numFmtId="0" fontId="18" fillId="0" borderId="107" xfId="0" applyFont="1" applyBorder="1"/>
    <xf numFmtId="0" fontId="19" fillId="0" borderId="87" xfId="0" applyFont="1" applyBorder="1" applyAlignment="1">
      <alignment horizontal="center"/>
    </xf>
    <xf numFmtId="0" fontId="19" fillId="0" borderId="88" xfId="0" applyFont="1" applyBorder="1" applyAlignment="1">
      <alignment horizontal="center"/>
    </xf>
    <xf numFmtId="0" fontId="2" fillId="2" borderId="87" xfId="1" applyBorder="1" applyAlignment="1">
      <alignment horizontal="center"/>
    </xf>
    <xf numFmtId="164" fontId="18" fillId="0" borderId="88" xfId="0" applyNumberFormat="1" applyFont="1" applyBorder="1" applyAlignment="1">
      <alignment horizontal="center"/>
    </xf>
    <xf numFmtId="0" fontId="18" fillId="0" borderId="87" xfId="0" applyFont="1" applyBorder="1" applyAlignment="1">
      <alignment horizontal="center"/>
    </xf>
    <xf numFmtId="0" fontId="2" fillId="2" borderId="89" xfId="1" applyBorder="1" applyAlignment="1">
      <alignment horizontal="center"/>
    </xf>
    <xf numFmtId="164" fontId="18" fillId="0" borderId="90" xfId="0" applyNumberFormat="1" applyFont="1" applyBorder="1" applyAlignment="1">
      <alignment horizontal="center"/>
    </xf>
    <xf numFmtId="0" fontId="19" fillId="0" borderId="28" xfId="0" applyFont="1" applyBorder="1" applyAlignment="1">
      <alignment horizontal="right"/>
    </xf>
    <xf numFmtId="164" fontId="54" fillId="6" borderId="108" xfId="4" applyNumberFormat="1" applyFont="1" applyFill="1" applyBorder="1" applyAlignment="1">
      <alignment horizontal="center"/>
    </xf>
    <xf numFmtId="2" fontId="54" fillId="4" borderId="108" xfId="4" applyNumberFormat="1" applyFont="1" applyFill="1" applyBorder="1" applyAlignment="1">
      <alignment horizontal="center"/>
    </xf>
    <xf numFmtId="0" fontId="56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53" fillId="4" borderId="111" xfId="4" applyFont="1" applyFill="1" applyBorder="1" applyAlignment="1">
      <alignment horizontal="center"/>
    </xf>
    <xf numFmtId="2" fontId="54" fillId="4" borderId="112" xfId="4" applyNumberFormat="1" applyFont="1" applyFill="1" applyBorder="1" applyAlignment="1">
      <alignment horizontal="center"/>
    </xf>
    <xf numFmtId="164" fontId="36" fillId="0" borderId="10" xfId="0" applyNumberFormat="1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15" fillId="0" borderId="0" xfId="4" applyFont="1" applyBorder="1" applyAlignment="1">
      <alignment horizontal="left"/>
    </xf>
    <xf numFmtId="0" fontId="56" fillId="0" borderId="0" xfId="0" applyFont="1"/>
    <xf numFmtId="2" fontId="8" fillId="0" borderId="30" xfId="4" applyNumberFormat="1" applyBorder="1" applyAlignment="1">
      <alignment horizontal="center" vertical="center"/>
    </xf>
    <xf numFmtId="166" fontId="7" fillId="3" borderId="8" xfId="2" applyNumberFormat="1"/>
    <xf numFmtId="1" fontId="29" fillId="3" borderId="10" xfId="4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8" fillId="3" borderId="5" xfId="0" applyFont="1" applyFill="1" applyBorder="1"/>
    <xf numFmtId="0" fontId="18" fillId="3" borderId="0" xfId="0" applyFont="1" applyFill="1"/>
    <xf numFmtId="0" fontId="36" fillId="3" borderId="0" xfId="0" applyFont="1" applyFill="1"/>
    <xf numFmtId="0" fontId="36" fillId="3" borderId="113" xfId="0" applyFont="1" applyFill="1" applyBorder="1"/>
    <xf numFmtId="0" fontId="19" fillId="3" borderId="0" xfId="0" applyFont="1" applyFill="1"/>
    <xf numFmtId="2" fontId="18" fillId="3" borderId="0" xfId="0" applyNumberFormat="1" applyFont="1" applyFill="1"/>
    <xf numFmtId="0" fontId="0" fillId="3" borderId="87" xfId="0" applyFill="1" applyBorder="1"/>
    <xf numFmtId="2" fontId="54" fillId="3" borderId="10" xfId="0" applyNumberFormat="1" applyFont="1" applyFill="1" applyBorder="1"/>
    <xf numFmtId="0" fontId="54" fillId="3" borderId="10" xfId="0" applyFont="1" applyFill="1" applyBorder="1"/>
    <xf numFmtId="0" fontId="18" fillId="3" borderId="7" xfId="0" applyFont="1" applyFill="1" applyBorder="1"/>
    <xf numFmtId="0" fontId="36" fillId="3" borderId="114" xfId="0" applyFont="1" applyFill="1" applyBorder="1"/>
    <xf numFmtId="0" fontId="57" fillId="0" borderId="20" xfId="0" applyFont="1" applyBorder="1"/>
    <xf numFmtId="164" fontId="58" fillId="6" borderId="67" xfId="4" applyNumberFormat="1" applyFont="1" applyFill="1" applyBorder="1" applyAlignment="1">
      <alignment horizontal="center"/>
    </xf>
    <xf numFmtId="2" fontId="54" fillId="6" borderId="110" xfId="4" applyNumberFormat="1" applyFont="1" applyFill="1" applyBorder="1" applyAlignment="1">
      <alignment horizontal="center"/>
    </xf>
    <xf numFmtId="164" fontId="58" fillId="6" borderId="108" xfId="4" applyNumberFormat="1" applyFont="1" applyFill="1" applyBorder="1" applyAlignment="1">
      <alignment horizontal="center"/>
    </xf>
    <xf numFmtId="2" fontId="54" fillId="6" borderId="109" xfId="4" applyNumberFormat="1" applyFont="1" applyFill="1" applyBorder="1" applyAlignment="1">
      <alignment horizontal="center"/>
    </xf>
    <xf numFmtId="164" fontId="58" fillId="6" borderId="60" xfId="4" applyNumberFormat="1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164" fontId="31" fillId="6" borderId="108" xfId="4" applyNumberFormat="1" applyFont="1" applyFill="1" applyBorder="1" applyAlignment="1">
      <alignment horizontal="center"/>
    </xf>
    <xf numFmtId="164" fontId="31" fillId="6" borderId="93" xfId="4" applyNumberFormat="1" applyFont="1" applyFill="1" applyBorder="1" applyAlignment="1">
      <alignment horizontal="center"/>
    </xf>
    <xf numFmtId="164" fontId="54" fillId="6" borderId="61" xfId="4" applyNumberFormat="1" applyFont="1" applyFill="1" applyBorder="1" applyAlignment="1">
      <alignment horizontal="center"/>
    </xf>
    <xf numFmtId="2" fontId="54" fillId="4" borderId="93" xfId="4" applyNumberFormat="1" applyFont="1" applyFill="1" applyBorder="1" applyAlignment="1">
      <alignment horizontal="center"/>
    </xf>
    <xf numFmtId="2" fontId="30" fillId="6" borderId="112" xfId="4" applyNumberFormat="1" applyFont="1" applyFill="1" applyBorder="1" applyAlignment="1">
      <alignment horizontal="center"/>
    </xf>
    <xf numFmtId="2" fontId="30" fillId="6" borderId="116" xfId="4" applyNumberFormat="1" applyFont="1" applyFill="1" applyBorder="1" applyAlignment="1">
      <alignment horizontal="center"/>
    </xf>
    <xf numFmtId="2" fontId="30" fillId="6" borderId="117" xfId="4" applyNumberFormat="1" applyFont="1" applyFill="1" applyBorder="1" applyAlignment="1">
      <alignment horizontal="center"/>
    </xf>
    <xf numFmtId="2" fontId="54" fillId="4" borderId="118" xfId="4" applyNumberFormat="1" applyFont="1" applyFill="1" applyBorder="1" applyAlignment="1">
      <alignment horizontal="center"/>
    </xf>
    <xf numFmtId="2" fontId="54" fillId="4" borderId="114" xfId="4" applyNumberFormat="1" applyFont="1" applyFill="1" applyBorder="1" applyAlignment="1">
      <alignment horizontal="center"/>
    </xf>
    <xf numFmtId="2" fontId="30" fillId="6" borderId="119" xfId="4" applyNumberFormat="1" applyFont="1" applyFill="1" applyBorder="1" applyAlignment="1">
      <alignment horizontal="center"/>
    </xf>
    <xf numFmtId="2" fontId="30" fillId="6" borderId="70" xfId="4" applyNumberFormat="1" applyFont="1" applyFill="1" applyBorder="1" applyAlignment="1">
      <alignment horizontal="center"/>
    </xf>
    <xf numFmtId="2" fontId="54" fillId="6" borderId="70" xfId="4" applyNumberFormat="1" applyFont="1" applyFill="1" applyBorder="1" applyAlignment="1">
      <alignment horizontal="center"/>
    </xf>
    <xf numFmtId="0" fontId="59" fillId="3" borderId="5" xfId="0" applyFont="1" applyFill="1" applyBorder="1"/>
    <xf numFmtId="0" fontId="60" fillId="3" borderId="0" xfId="0" applyFont="1" applyFill="1"/>
    <xf numFmtId="0" fontId="59" fillId="3" borderId="87" xfId="0" applyFont="1" applyFill="1" applyBorder="1"/>
    <xf numFmtId="2" fontId="61" fillId="3" borderId="10" xfId="0" applyNumberFormat="1" applyFont="1" applyFill="1" applyBorder="1"/>
    <xf numFmtId="0" fontId="61" fillId="3" borderId="10" xfId="0" applyFont="1" applyFill="1" applyBorder="1"/>
    <xf numFmtId="0" fontId="59" fillId="3" borderId="89" xfId="0" applyFont="1" applyFill="1" applyBorder="1"/>
    <xf numFmtId="2" fontId="61" fillId="3" borderId="38" xfId="0" applyNumberFormat="1" applyFont="1" applyFill="1" applyBorder="1"/>
    <xf numFmtId="0" fontId="61" fillId="3" borderId="38" xfId="0" applyFont="1" applyFill="1" applyBorder="1"/>
    <xf numFmtId="0" fontId="18" fillId="9" borderId="0" xfId="0" applyFont="1" applyFill="1"/>
    <xf numFmtId="0" fontId="18" fillId="8" borderId="0" xfId="0" applyFont="1" applyFill="1"/>
    <xf numFmtId="0" fontId="36" fillId="8" borderId="0" xfId="0" applyFont="1" applyFill="1"/>
    <xf numFmtId="164" fontId="36" fillId="0" borderId="28" xfId="0" applyNumberFormat="1" applyFont="1" applyBorder="1" applyAlignment="1">
      <alignment horizontal="center"/>
    </xf>
    <xf numFmtId="2" fontId="54" fillId="4" borderId="120" xfId="4" applyNumberFormat="1" applyFont="1" applyFill="1" applyBorder="1" applyAlignment="1">
      <alignment horizontal="center"/>
    </xf>
    <xf numFmtId="0" fontId="53" fillId="6" borderId="111" xfId="4" applyFont="1" applyFill="1" applyBorder="1" applyAlignment="1">
      <alignment horizontal="center"/>
    </xf>
    <xf numFmtId="0" fontId="37" fillId="0" borderId="28" xfId="0" applyFont="1" applyBorder="1" applyAlignment="1">
      <alignment horizontal="center"/>
    </xf>
    <xf numFmtId="0" fontId="53" fillId="4" borderId="36" xfId="4" applyFont="1" applyFill="1" applyBorder="1" applyAlignment="1">
      <alignment horizontal="center"/>
    </xf>
    <xf numFmtId="164" fontId="54" fillId="6" borderId="93" xfId="4" applyNumberFormat="1" applyFont="1" applyFill="1" applyBorder="1" applyAlignment="1">
      <alignment horizontal="center"/>
    </xf>
    <xf numFmtId="2" fontId="30" fillId="6" borderId="67" xfId="4" applyNumberFormat="1" applyFont="1" applyFill="1" applyBorder="1" applyAlignment="1">
      <alignment horizontal="center"/>
    </xf>
    <xf numFmtId="2" fontId="30" fillId="6" borderId="121" xfId="4" applyNumberFormat="1" applyFont="1" applyFill="1" applyBorder="1" applyAlignment="1">
      <alignment horizontal="center"/>
    </xf>
    <xf numFmtId="2" fontId="30" fillId="6" borderId="69" xfId="4" applyNumberFormat="1" applyFont="1" applyFill="1" applyBorder="1" applyAlignment="1">
      <alignment horizontal="center"/>
    </xf>
    <xf numFmtId="2" fontId="54" fillId="4" borderId="70" xfId="4" applyNumberFormat="1" applyFont="1" applyFill="1" applyBorder="1" applyAlignment="1">
      <alignment horizontal="center"/>
    </xf>
    <xf numFmtId="2" fontId="54" fillId="4" borderId="94" xfId="4" applyNumberFormat="1" applyFont="1" applyFill="1" applyBorder="1" applyAlignment="1">
      <alignment horizontal="center"/>
    </xf>
    <xf numFmtId="0" fontId="0" fillId="4" borderId="0" xfId="0" applyFill="1"/>
    <xf numFmtId="0" fontId="22" fillId="9" borderId="0" xfId="0" applyFont="1" applyFill="1"/>
    <xf numFmtId="0" fontId="0" fillId="8" borderId="0" xfId="0" applyFill="1"/>
    <xf numFmtId="1" fontId="0" fillId="0" borderId="0" xfId="0" applyNumberFormat="1"/>
    <xf numFmtId="1" fontId="0" fillId="0" borderId="2" xfId="0" applyNumberFormat="1" applyBorder="1"/>
    <xf numFmtId="164" fontId="0" fillId="0" borderId="2" xfId="0" applyNumberFormat="1" applyBorder="1"/>
    <xf numFmtId="1" fontId="1" fillId="0" borderId="0" xfId="0" applyNumberFormat="1" applyFont="1"/>
    <xf numFmtId="0" fontId="57" fillId="0" borderId="0" xfId="0" applyFont="1"/>
    <xf numFmtId="164" fontId="57" fillId="0" borderId="0" xfId="0" applyNumberFormat="1" applyFont="1"/>
    <xf numFmtId="0" fontId="0" fillId="0" borderId="122" xfId="0" applyBorder="1"/>
    <xf numFmtId="1" fontId="0" fillId="0" borderId="122" xfId="0" applyNumberFormat="1" applyBorder="1"/>
    <xf numFmtId="0" fontId="0" fillId="0" borderId="0" xfId="0" applyAlignment="1">
      <alignment horizontal="left" indent="4"/>
    </xf>
    <xf numFmtId="164" fontId="57" fillId="0" borderId="0" xfId="0" applyNumberFormat="1" applyFont="1" applyAlignment="1">
      <alignment horizontal="left" indent="2"/>
    </xf>
    <xf numFmtId="0" fontId="0" fillId="0" borderId="7" xfId="0" applyBorder="1"/>
    <xf numFmtId="164" fontId="0" fillId="0" borderId="7" xfId="0" applyNumberFormat="1" applyBorder="1"/>
    <xf numFmtId="0" fontId="0" fillId="0" borderId="7" xfId="0" applyBorder="1" applyAlignment="1">
      <alignment horizontal="center"/>
    </xf>
    <xf numFmtId="0" fontId="22" fillId="0" borderId="2" xfId="0" applyFont="1" applyBorder="1"/>
    <xf numFmtId="0" fontId="22" fillId="0" borderId="122" xfId="0" applyFont="1" applyBorder="1"/>
    <xf numFmtId="0" fontId="22" fillId="0" borderId="10" xfId="0" applyFont="1" applyBorder="1" applyAlignment="1">
      <alignment horizontal="center"/>
    </xf>
    <xf numFmtId="164" fontId="22" fillId="0" borderId="10" xfId="0" applyNumberFormat="1" applyFont="1" applyBorder="1" applyAlignment="1">
      <alignment horizontal="center"/>
    </xf>
    <xf numFmtId="0" fontId="62" fillId="0" borderId="0" xfId="0" applyFont="1"/>
    <xf numFmtId="0" fontId="63" fillId="3" borderId="3" xfId="0" applyFont="1" applyFill="1" applyBorder="1"/>
    <xf numFmtId="0" fontId="64" fillId="3" borderId="4" xfId="0" applyFont="1" applyFill="1" applyBorder="1"/>
    <xf numFmtId="0" fontId="64" fillId="3" borderId="107" xfId="0" applyFont="1" applyFill="1" applyBorder="1"/>
    <xf numFmtId="0" fontId="64" fillId="3" borderId="5" xfId="0" applyFont="1" applyFill="1" applyBorder="1"/>
    <xf numFmtId="0" fontId="64" fillId="3" borderId="0" xfId="0" applyFont="1" applyFill="1"/>
    <xf numFmtId="0" fontId="64" fillId="3" borderId="113" xfId="0" applyFont="1" applyFill="1" applyBorder="1"/>
    <xf numFmtId="0" fontId="65" fillId="3" borderId="5" xfId="0" applyFont="1" applyFill="1" applyBorder="1"/>
    <xf numFmtId="0" fontId="64" fillId="3" borderId="89" xfId="0" applyFont="1" applyFill="1" applyBorder="1" applyAlignment="1">
      <alignment horizontal="center"/>
    </xf>
    <xf numFmtId="0" fontId="64" fillId="3" borderId="38" xfId="0" applyFont="1" applyFill="1" applyBorder="1" applyAlignment="1">
      <alignment horizontal="center"/>
    </xf>
    <xf numFmtId="0" fontId="65" fillId="3" borderId="38" xfId="0" applyFont="1" applyFill="1" applyBorder="1" applyAlignment="1">
      <alignment horizontal="center"/>
    </xf>
    <xf numFmtId="0" fontId="64" fillId="3" borderId="115" xfId="0" applyFont="1" applyFill="1" applyBorder="1" applyAlignment="1">
      <alignment horizontal="center"/>
    </xf>
    <xf numFmtId="164" fontId="64" fillId="3" borderId="25" xfId="0" applyNumberFormat="1" applyFont="1" applyFill="1" applyBorder="1" applyAlignment="1">
      <alignment horizontal="center"/>
    </xf>
    <xf numFmtId="164" fontId="65" fillId="3" borderId="25" xfId="0" applyNumberFormat="1" applyFont="1" applyFill="1" applyBorder="1" applyAlignment="1">
      <alignment horizontal="center"/>
    </xf>
    <xf numFmtId="0" fontId="64" fillId="3" borderId="87" xfId="0" applyFont="1" applyFill="1" applyBorder="1" applyAlignment="1">
      <alignment horizontal="center"/>
    </xf>
    <xf numFmtId="164" fontId="64" fillId="3" borderId="10" xfId="0" applyNumberFormat="1" applyFont="1" applyFill="1" applyBorder="1" applyAlignment="1">
      <alignment horizontal="center"/>
    </xf>
    <xf numFmtId="164" fontId="65" fillId="3" borderId="10" xfId="0" applyNumberFormat="1" applyFont="1" applyFill="1" applyBorder="1" applyAlignment="1">
      <alignment horizontal="center"/>
    </xf>
    <xf numFmtId="0" fontId="65" fillId="3" borderId="0" xfId="0" applyFont="1" applyFill="1"/>
    <xf numFmtId="166" fontId="18" fillId="0" borderId="25" xfId="0" applyNumberFormat="1" applyFont="1" applyBorder="1" applyAlignment="1">
      <alignment horizontal="center"/>
    </xf>
    <xf numFmtId="2" fontId="18" fillId="0" borderId="10" xfId="0" applyNumberFormat="1" applyFont="1" applyBorder="1"/>
    <xf numFmtId="0" fontId="27" fillId="0" borderId="0" xfId="0" applyFont="1"/>
    <xf numFmtId="0" fontId="66" fillId="3" borderId="3" xfId="0" applyFont="1" applyFill="1" applyBorder="1"/>
    <xf numFmtId="0" fontId="67" fillId="3" borderId="4" xfId="0" applyFont="1" applyFill="1" applyBorder="1"/>
    <xf numFmtId="0" fontId="67" fillId="3" borderId="107" xfId="0" applyFont="1" applyFill="1" applyBorder="1"/>
    <xf numFmtId="0" fontId="67" fillId="3" borderId="5" xfId="0" applyFont="1" applyFill="1" applyBorder="1"/>
    <xf numFmtId="0" fontId="67" fillId="3" borderId="0" xfId="0" applyFont="1" applyFill="1"/>
    <xf numFmtId="0" fontId="67" fillId="3" borderId="113" xfId="0" applyFont="1" applyFill="1" applyBorder="1"/>
    <xf numFmtId="0" fontId="68" fillId="3" borderId="5" xfId="0" applyFont="1" applyFill="1" applyBorder="1"/>
    <xf numFmtId="0" fontId="67" fillId="3" borderId="89" xfId="0" applyFont="1" applyFill="1" applyBorder="1" applyAlignment="1">
      <alignment horizontal="center"/>
    </xf>
    <xf numFmtId="0" fontId="67" fillId="3" borderId="38" xfId="0" applyFont="1" applyFill="1" applyBorder="1" applyAlignment="1">
      <alignment horizontal="center"/>
    </xf>
    <xf numFmtId="0" fontId="68" fillId="3" borderId="38" xfId="0" applyFont="1" applyFill="1" applyBorder="1" applyAlignment="1">
      <alignment horizontal="center"/>
    </xf>
    <xf numFmtId="0" fontId="67" fillId="3" borderId="115" xfId="0" applyFont="1" applyFill="1" applyBorder="1" applyAlignment="1">
      <alignment horizontal="center"/>
    </xf>
    <xf numFmtId="164" fontId="67" fillId="3" borderId="25" xfId="0" applyNumberFormat="1" applyFont="1" applyFill="1" applyBorder="1" applyAlignment="1">
      <alignment horizontal="center"/>
    </xf>
    <xf numFmtId="164" fontId="68" fillId="3" borderId="25" xfId="0" applyNumberFormat="1" applyFont="1" applyFill="1" applyBorder="1" applyAlignment="1">
      <alignment horizontal="center"/>
    </xf>
    <xf numFmtId="0" fontId="67" fillId="3" borderId="87" xfId="0" applyFont="1" applyFill="1" applyBorder="1" applyAlignment="1">
      <alignment horizontal="center"/>
    </xf>
    <xf numFmtId="164" fontId="67" fillId="3" borderId="10" xfId="0" applyNumberFormat="1" applyFont="1" applyFill="1" applyBorder="1" applyAlignment="1">
      <alignment horizontal="center"/>
    </xf>
    <xf numFmtId="164" fontId="68" fillId="3" borderId="10" xfId="0" applyNumberFormat="1" applyFont="1" applyFill="1" applyBorder="1" applyAlignment="1">
      <alignment horizontal="center"/>
    </xf>
    <xf numFmtId="0" fontId="68" fillId="3" borderId="0" xfId="0" applyFont="1" applyFill="1"/>
    <xf numFmtId="0" fontId="69" fillId="3" borderId="5" xfId="0" applyFont="1" applyFill="1" applyBorder="1"/>
    <xf numFmtId="0" fontId="70" fillId="3" borderId="0" xfId="0" applyFont="1" applyFill="1"/>
    <xf numFmtId="0" fontId="69" fillId="3" borderId="0" xfId="0" applyFont="1" applyFill="1"/>
    <xf numFmtId="0" fontId="71" fillId="3" borderId="0" xfId="0" applyFont="1" applyFill="1"/>
    <xf numFmtId="0" fontId="71" fillId="3" borderId="113" xfId="0" applyFont="1" applyFill="1" applyBorder="1"/>
    <xf numFmtId="2" fontId="69" fillId="3" borderId="0" xfId="0" applyNumberFormat="1" applyFont="1" applyFill="1"/>
    <xf numFmtId="0" fontId="72" fillId="3" borderId="5" xfId="0" applyFont="1" applyFill="1" applyBorder="1"/>
    <xf numFmtId="0" fontId="72" fillId="3" borderId="87" xfId="0" applyFont="1" applyFill="1" applyBorder="1"/>
    <xf numFmtId="2" fontId="73" fillId="3" borderId="10" xfId="0" applyNumberFormat="1" applyFont="1" applyFill="1" applyBorder="1"/>
    <xf numFmtId="0" fontId="73" fillId="3" borderId="10" xfId="0" applyFont="1" applyFill="1" applyBorder="1"/>
    <xf numFmtId="0" fontId="74" fillId="3" borderId="5" xfId="0" applyFont="1" applyFill="1" applyBorder="1"/>
    <xf numFmtId="0" fontId="75" fillId="3" borderId="0" xfId="0" applyFont="1" applyFill="1"/>
    <xf numFmtId="0" fontId="74" fillId="3" borderId="87" xfId="0" applyFont="1" applyFill="1" applyBorder="1"/>
    <xf numFmtId="2" fontId="76" fillId="3" borderId="10" xfId="0" applyNumberFormat="1" applyFont="1" applyFill="1" applyBorder="1"/>
    <xf numFmtId="0" fontId="76" fillId="3" borderId="10" xfId="0" applyFont="1" applyFill="1" applyBorder="1"/>
    <xf numFmtId="0" fontId="74" fillId="3" borderId="89" xfId="0" applyFont="1" applyFill="1" applyBorder="1"/>
    <xf numFmtId="2" fontId="76" fillId="3" borderId="38" xfId="0" applyNumberFormat="1" applyFont="1" applyFill="1" applyBorder="1"/>
    <xf numFmtId="0" fontId="76" fillId="3" borderId="38" xfId="0" applyFont="1" applyFill="1" applyBorder="1"/>
    <xf numFmtId="0" fontId="69" fillId="3" borderId="7" xfId="0" applyFont="1" applyFill="1" applyBorder="1"/>
    <xf numFmtId="0" fontId="71" fillId="3" borderId="114" xfId="0" applyFont="1" applyFill="1" applyBorder="1"/>
    <xf numFmtId="21" fontId="0" fillId="0" borderId="0" xfId="0" applyNumberFormat="1"/>
    <xf numFmtId="2" fontId="1" fillId="6" borderId="10" xfId="0" applyNumberFormat="1" applyFont="1" applyFill="1" applyBorder="1"/>
    <xf numFmtId="0" fontId="0" fillId="4" borderId="0" xfId="0" applyFill="1" applyAlignment="1">
      <alignment horizontal="center" vertical="center"/>
    </xf>
    <xf numFmtId="0" fontId="0" fillId="10" borderId="0" xfId="0" applyFill="1"/>
    <xf numFmtId="164" fontId="1" fillId="0" borderId="0" xfId="0" applyNumberFormat="1" applyFont="1" applyAlignment="1">
      <alignment horizontal="center"/>
    </xf>
    <xf numFmtId="2" fontId="8" fillId="0" borderId="9" xfId="4" applyNumberFormat="1" applyAlignment="1">
      <alignment horizontal="center"/>
    </xf>
    <xf numFmtId="165" fontId="0" fillId="0" borderId="0" xfId="0" applyNumberFormat="1"/>
    <xf numFmtId="9" fontId="0" fillId="0" borderId="0" xfId="5" applyFont="1" applyAlignment="1">
      <alignment horizontal="center"/>
    </xf>
    <xf numFmtId="10" fontId="0" fillId="0" borderId="0" xfId="0" applyNumberFormat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0" fillId="0" borderId="0" xfId="5" applyNumberFormat="1" applyFont="1" applyAlignment="1">
      <alignment horizontal="center"/>
    </xf>
    <xf numFmtId="166" fontId="0" fillId="0" borderId="10" xfId="0" applyNumberFormat="1" applyBorder="1" applyAlignment="1">
      <alignment horizontal="center"/>
    </xf>
    <xf numFmtId="165" fontId="7" fillId="3" borderId="8" xfId="2" applyNumberFormat="1"/>
    <xf numFmtId="1" fontId="27" fillId="3" borderId="92" xfId="0" applyNumberFormat="1" applyFont="1" applyFill="1" applyBorder="1" applyAlignment="1">
      <alignment horizontal="center"/>
    </xf>
    <xf numFmtId="9" fontId="77" fillId="11" borderId="0" xfId="11" applyNumberFormat="1"/>
    <xf numFmtId="164" fontId="0" fillId="5" borderId="10" xfId="0" applyNumberFormat="1" applyFill="1" applyBorder="1"/>
    <xf numFmtId="9" fontId="78" fillId="12" borderId="0" xfId="12" applyNumberFormat="1"/>
    <xf numFmtId="14" fontId="0" fillId="0" borderId="20" xfId="0" quotePrefix="1" applyNumberForma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24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left"/>
    </xf>
    <xf numFmtId="0" fontId="19" fillId="0" borderId="25" xfId="0" applyFont="1" applyBorder="1" applyAlignment="1">
      <alignment horizontal="left"/>
    </xf>
    <xf numFmtId="0" fontId="18" fillId="0" borderId="39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164" fontId="1" fillId="0" borderId="58" xfId="0" applyNumberFormat="1" applyFont="1" applyBorder="1" applyAlignment="1">
      <alignment horizontal="center" vertical="top"/>
    </xf>
    <xf numFmtId="164" fontId="1" fillId="0" borderId="59" xfId="0" applyNumberFormat="1" applyFont="1" applyBorder="1" applyAlignment="1">
      <alignment horizontal="center" vertical="top"/>
    </xf>
    <xf numFmtId="164" fontId="1" fillId="0" borderId="70" xfId="0" applyNumberFormat="1" applyFont="1" applyBorder="1" applyAlignment="1">
      <alignment horizontal="center" vertical="top"/>
    </xf>
    <xf numFmtId="164" fontId="1" fillId="0" borderId="93" xfId="0" applyNumberFormat="1" applyFont="1" applyBorder="1" applyAlignment="1">
      <alignment horizontal="center" vertical="top"/>
    </xf>
    <xf numFmtId="164" fontId="1" fillId="0" borderId="96" xfId="0" applyNumberFormat="1" applyFont="1" applyBorder="1" applyAlignment="1">
      <alignment horizontal="center" vertical="top"/>
    </xf>
    <xf numFmtId="0" fontId="24" fillId="6" borderId="24" xfId="0" applyFont="1" applyFill="1" applyBorder="1" applyAlignment="1">
      <alignment horizontal="center" wrapText="1"/>
    </xf>
    <xf numFmtId="0" fontId="24" fillId="6" borderId="25" xfId="0" applyFont="1" applyFill="1" applyBorder="1" applyAlignment="1">
      <alignment horizontal="center" wrapText="1"/>
    </xf>
    <xf numFmtId="0" fontId="24" fillId="6" borderId="80" xfId="0" applyFont="1" applyFill="1" applyBorder="1" applyAlignment="1">
      <alignment horizontal="center" vertical="center"/>
    </xf>
    <xf numFmtId="0" fontId="24" fillId="6" borderId="83" xfId="0" applyFont="1" applyFill="1" applyBorder="1" applyAlignment="1">
      <alignment horizontal="center" vertical="center"/>
    </xf>
    <xf numFmtId="0" fontId="24" fillId="6" borderId="81" xfId="0" applyFont="1" applyFill="1" applyBorder="1" applyAlignment="1">
      <alignment horizontal="center" vertical="center"/>
    </xf>
    <xf numFmtId="0" fontId="24" fillId="6" borderId="84" xfId="0" applyFont="1" applyFill="1" applyBorder="1" applyAlignment="1">
      <alignment horizontal="center" vertical="center"/>
    </xf>
    <xf numFmtId="164" fontId="1" fillId="0" borderId="60" xfId="0" applyNumberFormat="1" applyFont="1" applyBorder="1" applyAlignment="1">
      <alignment horizontal="center" vertical="top"/>
    </xf>
    <xf numFmtId="0" fontId="24" fillId="6" borderId="81" xfId="0" applyFont="1" applyFill="1" applyBorder="1" applyAlignment="1">
      <alignment horizontal="center" wrapText="1"/>
    </xf>
    <xf numFmtId="0" fontId="24" fillId="6" borderId="84" xfId="0" applyFont="1" applyFill="1" applyBorder="1" applyAlignment="1">
      <alignment horizontal="center" wrapText="1"/>
    </xf>
    <xf numFmtId="0" fontId="24" fillId="6" borderId="79" xfId="0" applyFont="1" applyFill="1" applyBorder="1" applyAlignment="1">
      <alignment horizontal="center" vertical="center"/>
    </xf>
    <xf numFmtId="0" fontId="24" fillId="6" borderId="82" xfId="0" applyFont="1" applyFill="1" applyBorder="1" applyAlignment="1">
      <alignment horizontal="center" vertical="center"/>
    </xf>
    <xf numFmtId="0" fontId="24" fillId="6" borderId="27" xfId="0" applyFont="1" applyFill="1" applyBorder="1" applyAlignment="1">
      <alignment horizontal="center"/>
    </xf>
    <xf numFmtId="0" fontId="24" fillId="6" borderId="13" xfId="0" applyFont="1" applyFill="1" applyBorder="1" applyAlignment="1">
      <alignment horizontal="center"/>
    </xf>
    <xf numFmtId="0" fontId="24" fillId="6" borderId="28" xfId="0" applyFont="1" applyFill="1" applyBorder="1" applyAlignment="1">
      <alignment horizontal="center"/>
    </xf>
    <xf numFmtId="0" fontId="24" fillId="6" borderId="32" xfId="0" applyFont="1" applyFill="1" applyBorder="1" applyAlignment="1">
      <alignment horizontal="center" wrapText="1"/>
    </xf>
    <xf numFmtId="0" fontId="24" fillId="6" borderId="17" xfId="0" applyFont="1" applyFill="1" applyBorder="1" applyAlignment="1">
      <alignment horizontal="center" wrapText="1"/>
    </xf>
    <xf numFmtId="0" fontId="24" fillId="6" borderId="20" xfId="0" applyFont="1" applyFill="1" applyBorder="1" applyAlignment="1">
      <alignment horizontal="center" wrapText="1"/>
    </xf>
    <xf numFmtId="0" fontId="24" fillId="6" borderId="22" xfId="0" applyFont="1" applyFill="1" applyBorder="1" applyAlignment="1">
      <alignment horizontal="center"/>
    </xf>
    <xf numFmtId="0" fontId="24" fillId="6" borderId="25" xfId="0" applyFont="1" applyFill="1" applyBorder="1" applyAlignment="1">
      <alignment horizontal="center"/>
    </xf>
    <xf numFmtId="0" fontId="24" fillId="6" borderId="79" xfId="0" applyFont="1" applyFill="1" applyBorder="1" applyAlignment="1">
      <alignment horizontal="center" wrapText="1"/>
    </xf>
    <xf numFmtId="0" fontId="24" fillId="6" borderId="82" xfId="0" applyFont="1" applyFill="1" applyBorder="1" applyAlignment="1">
      <alignment horizontal="center" wrapText="1"/>
    </xf>
    <xf numFmtId="0" fontId="24" fillId="6" borderId="80" xfId="0" applyFont="1" applyFill="1" applyBorder="1" applyAlignment="1">
      <alignment horizontal="center" wrapText="1"/>
    </xf>
    <xf numFmtId="0" fontId="24" fillId="6" borderId="83" xfId="0" applyFont="1" applyFill="1" applyBorder="1" applyAlignment="1">
      <alignment horizontal="center" wrapText="1"/>
    </xf>
    <xf numFmtId="0" fontId="49" fillId="6" borderId="79" xfId="0" applyFont="1" applyFill="1" applyBorder="1" applyAlignment="1">
      <alignment horizontal="center" wrapText="1"/>
    </xf>
    <xf numFmtId="0" fontId="49" fillId="6" borderId="82" xfId="0" applyFont="1" applyFill="1" applyBorder="1" applyAlignment="1">
      <alignment horizontal="center" wrapText="1"/>
    </xf>
    <xf numFmtId="0" fontId="49" fillId="6" borderId="80" xfId="0" applyFont="1" applyFill="1" applyBorder="1" applyAlignment="1">
      <alignment horizontal="center" wrapText="1"/>
    </xf>
    <xf numFmtId="0" fontId="49" fillId="6" borderId="83" xfId="0" applyFont="1" applyFill="1" applyBorder="1" applyAlignment="1">
      <alignment horizontal="center" wrapText="1"/>
    </xf>
    <xf numFmtId="0" fontId="49" fillId="6" borderId="81" xfId="0" applyFont="1" applyFill="1" applyBorder="1" applyAlignment="1">
      <alignment horizontal="center" wrapText="1"/>
    </xf>
    <xf numFmtId="0" fontId="49" fillId="6" borderId="84" xfId="0" applyFont="1" applyFill="1" applyBorder="1" applyAlignment="1">
      <alignment horizontal="center" wrapText="1"/>
    </xf>
    <xf numFmtId="0" fontId="49" fillId="6" borderId="27" xfId="0" applyFont="1" applyFill="1" applyBorder="1" applyAlignment="1">
      <alignment horizontal="center"/>
    </xf>
    <xf numFmtId="0" fontId="49" fillId="6" borderId="13" xfId="0" applyFont="1" applyFill="1" applyBorder="1" applyAlignment="1">
      <alignment horizontal="center"/>
    </xf>
    <xf numFmtId="0" fontId="49" fillId="6" borderId="28" xfId="0" applyFont="1" applyFill="1" applyBorder="1" applyAlignment="1">
      <alignment horizontal="center"/>
    </xf>
    <xf numFmtId="165" fontId="1" fillId="0" borderId="27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165" fontId="1" fillId="0" borderId="28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</cellXfs>
  <cellStyles count="13">
    <cellStyle name="Huomautus" xfId="1" builtinId="10" customBuiltin="1"/>
    <cellStyle name="Huomautus 2" xfId="8" xr:uid="{DF1E2F60-B912-4BCC-8D22-743ADCFC0B7B}"/>
    <cellStyle name="Hyvä" xfId="11" builtinId="26"/>
    <cellStyle name="Laskenta" xfId="3" builtinId="22" customBuiltin="1"/>
    <cellStyle name="Neutraali" xfId="12" builtinId="28"/>
    <cellStyle name="Normaali" xfId="0" builtinId="0" customBuiltin="1"/>
    <cellStyle name="Normaali 2" xfId="10" xr:uid="{3962CF56-C3FA-48AE-ACA2-D3FFE2D81353}"/>
    <cellStyle name="Normaali 3" xfId="9" xr:uid="{8A21125C-FA87-4015-8236-71385A8F77AD}"/>
    <cellStyle name="Prosenttia" xfId="5" builtinId="5"/>
    <cellStyle name="Selittävä teksti" xfId="6" builtinId="53"/>
    <cellStyle name="Syöttö" xfId="2" builtinId="20" customBuiltin="1"/>
    <cellStyle name="Tulostus" xfId="4" builtinId="21" customBuiltin="1"/>
    <cellStyle name="Tulostus 2" xfId="7" xr:uid="{26711B3A-28C7-4515-90E4-4AF4E86968DB}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600000"/>
      <color rgb="FFDCB7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fi-FI"/>
              <a:t>Parmair</a:t>
            </a:r>
            <a:r>
              <a:rPr lang="fi-FI" baseline="0"/>
              <a:t> Alvari</a:t>
            </a:r>
            <a:endParaRPr lang="fi-FI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'Laskenta tulopuoli'!$AE$5</c:f>
              <c:strCache>
                <c:ptCount val="1"/>
                <c:pt idx="0">
                  <c:v>Tulo 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tulopuoli'!$AE$7:$AE$11</c:f>
              <c:numCache>
                <c:formatCode>General</c:formatCode>
                <c:ptCount val="5"/>
                <c:pt idx="0">
                  <c:v>162.5</c:v>
                </c:pt>
                <c:pt idx="1">
                  <c:v>142</c:v>
                </c:pt>
                <c:pt idx="2">
                  <c:v>121.5</c:v>
                </c:pt>
                <c:pt idx="3">
                  <c:v>101</c:v>
                </c:pt>
                <c:pt idx="4">
                  <c:v>80.5</c:v>
                </c:pt>
              </c:numCache>
            </c:numRef>
          </c:xVal>
          <c:yVal>
            <c:numRef>
              <c:f>'Laskenta tulopuoli'!$AF$7:$AF$11</c:f>
              <c:numCache>
                <c:formatCode>0.0</c:formatCode>
                <c:ptCount val="5"/>
                <c:pt idx="0">
                  <c:v>5.2656360520359158E-2</c:v>
                </c:pt>
                <c:pt idx="1">
                  <c:v>181.41097975513662</c:v>
                </c:pt>
                <c:pt idx="2">
                  <c:v>345.77074016934239</c:v>
                </c:pt>
                <c:pt idx="3">
                  <c:v>493.13193760313749</c:v>
                </c:pt>
                <c:pt idx="4">
                  <c:v>623.49457205652197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D81-4460-92B0-57651F0D2430}"/>
            </c:ext>
          </c:extLst>
        </c:ser>
        <c:ser>
          <c:idx val="1"/>
          <c:order val="1"/>
          <c:tx>
            <c:strRef>
              <c:f>'Laskenta tulopuoli'!$AG$5</c:f>
              <c:strCache>
                <c:ptCount val="1"/>
                <c:pt idx="0">
                  <c:v>Tulo 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tulopuoli'!$AG$7:$AG$11</c:f>
              <c:numCache>
                <c:formatCode>General</c:formatCode>
                <c:ptCount val="5"/>
                <c:pt idx="0">
                  <c:v>136.69999999999999</c:v>
                </c:pt>
                <c:pt idx="1">
                  <c:v>117.64999999999999</c:v>
                </c:pt>
                <c:pt idx="2">
                  <c:v>98.6</c:v>
                </c:pt>
                <c:pt idx="3">
                  <c:v>79.55</c:v>
                </c:pt>
                <c:pt idx="4">
                  <c:v>60.5</c:v>
                </c:pt>
              </c:numCache>
            </c:numRef>
          </c:xVal>
          <c:yVal>
            <c:numRef>
              <c:f>'Laskenta tulopuoli'!$AH$7:$AH$11</c:f>
              <c:numCache>
                <c:formatCode>0.0</c:formatCode>
                <c:ptCount val="5"/>
                <c:pt idx="0">
                  <c:v>1.0093894656381508</c:v>
                </c:pt>
                <c:pt idx="1">
                  <c:v>151.98855330579522</c:v>
                </c:pt>
                <c:pt idx="2">
                  <c:v>280.26161426664316</c:v>
                </c:pt>
                <c:pt idx="3">
                  <c:v>385.82857234818209</c:v>
                </c:pt>
                <c:pt idx="4">
                  <c:v>468.68942755041184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D81-4460-92B0-57651F0D2430}"/>
            </c:ext>
          </c:extLst>
        </c:ser>
        <c:ser>
          <c:idx val="2"/>
          <c:order val="2"/>
          <c:tx>
            <c:strRef>
              <c:f>'Laskenta tulopuoli'!$AI$5</c:f>
              <c:strCache>
                <c:ptCount val="1"/>
                <c:pt idx="0">
                  <c:v>Tulo 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tulopuoli'!$AI$7:$AI$11</c:f>
              <c:numCache>
                <c:formatCode>General</c:formatCode>
                <c:ptCount val="5"/>
                <c:pt idx="0">
                  <c:v>94.5</c:v>
                </c:pt>
                <c:pt idx="1">
                  <c:v>79.75</c:v>
                </c:pt>
                <c:pt idx="2">
                  <c:v>65</c:v>
                </c:pt>
                <c:pt idx="3">
                  <c:v>50.25</c:v>
                </c:pt>
                <c:pt idx="4">
                  <c:v>35.5</c:v>
                </c:pt>
              </c:numCache>
            </c:numRef>
          </c:xVal>
          <c:yVal>
            <c:numRef>
              <c:f>'Laskenta tulopuoli'!$AJ$7:$AJ$11</c:f>
              <c:numCache>
                <c:formatCode>0.0</c:formatCode>
                <c:ptCount val="5"/>
                <c:pt idx="0">
                  <c:v>0.22320526021258047</c:v>
                </c:pt>
                <c:pt idx="1">
                  <c:v>93.871740223736793</c:v>
                </c:pt>
                <c:pt idx="2">
                  <c:v>170.8382220962381</c:v>
                </c:pt>
                <c:pt idx="3">
                  <c:v>231.12265087771641</c:v>
                </c:pt>
                <c:pt idx="4">
                  <c:v>274.72502656817181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D81-4460-92B0-57651F0D2430}"/>
            </c:ext>
          </c:extLst>
        </c:ser>
        <c:ser>
          <c:idx val="3"/>
          <c:order val="3"/>
          <c:tx>
            <c:strRef>
              <c:f>'Laskenta tulopuoli'!$AK$5</c:f>
              <c:strCache>
                <c:ptCount val="1"/>
                <c:pt idx="0">
                  <c:v>Tulo 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tulopuoli'!$AK$7:$AK$11</c:f>
              <c:numCache>
                <c:formatCode>General</c:formatCode>
                <c:ptCount val="5"/>
                <c:pt idx="0">
                  <c:v>56.3</c:v>
                </c:pt>
                <c:pt idx="1">
                  <c:v>46.224999999999994</c:v>
                </c:pt>
                <c:pt idx="2">
                  <c:v>36.15</c:v>
                </c:pt>
                <c:pt idx="3">
                  <c:v>26.074999999999999</c:v>
                </c:pt>
                <c:pt idx="4">
                  <c:v>16</c:v>
                </c:pt>
              </c:numCache>
            </c:numRef>
          </c:xVal>
          <c:yVal>
            <c:numRef>
              <c:f>'Laskenta tulopuoli'!$AL$7:$AL$11</c:f>
              <c:numCache>
                <c:formatCode>0.0</c:formatCode>
                <c:ptCount val="5"/>
                <c:pt idx="0">
                  <c:v>0.89482256785268532</c:v>
                </c:pt>
                <c:pt idx="1">
                  <c:v>42.384310771395178</c:v>
                </c:pt>
                <c:pt idx="2">
                  <c:v>76.531928506020407</c:v>
                </c:pt>
                <c:pt idx="3">
                  <c:v>103.33767577172839</c:v>
                </c:pt>
                <c:pt idx="4">
                  <c:v>122.80155256851907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D81-4460-92B0-57651F0D2430}"/>
            </c:ext>
          </c:extLst>
        </c:ser>
        <c:ser>
          <c:idx val="14"/>
          <c:order val="4"/>
          <c:tx>
            <c:strRef>
              <c:f>'Laskenta tulopuoli'!$AM$5</c:f>
              <c:strCache>
                <c:ptCount val="1"/>
                <c:pt idx="0">
                  <c:v>Tulo 2V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 cmpd="sng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tulopuoli'!$AM$7:$AM$11</c:f>
              <c:numCache>
                <c:formatCode>General</c:formatCode>
                <c:ptCount val="5"/>
                <c:pt idx="0">
                  <c:v>20</c:v>
                </c:pt>
                <c:pt idx="1">
                  <c:v>16.25</c:v>
                </c:pt>
                <c:pt idx="2">
                  <c:v>12.5</c:v>
                </c:pt>
                <c:pt idx="3">
                  <c:v>8.75</c:v>
                </c:pt>
                <c:pt idx="4">
                  <c:v>5</c:v>
                </c:pt>
              </c:numCache>
            </c:numRef>
          </c:xVal>
          <c:yVal>
            <c:numRef>
              <c:f>'Laskenta tulopuoli'!$AN$7:$AN$11</c:f>
              <c:numCache>
                <c:formatCode>0.0</c:formatCode>
                <c:ptCount val="5"/>
                <c:pt idx="0">
                  <c:v>0.75508145696186801</c:v>
                </c:pt>
                <c:pt idx="1">
                  <c:v>7.9860106577493575</c:v>
                </c:pt>
                <c:pt idx="2">
                  <c:v>14.570850534481167</c:v>
                </c:pt>
                <c:pt idx="3">
                  <c:v>20.509601087157293</c:v>
                </c:pt>
                <c:pt idx="4">
                  <c:v>25.802262315777739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A33E-411B-888F-3774FAD96E84}"/>
            </c:ext>
          </c:extLst>
        </c:ser>
        <c:ser>
          <c:idx val="4"/>
          <c:order val="5"/>
          <c:tx>
            <c:v>Tulo otsikot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45F022D7-76C4-4044-B4FD-3BBE302F5C0F}" type="CELLRANGE">
                      <a:rPr lang="en-US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6D81-4460-92B0-57651F0D243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0C0A477-71B3-4882-8A4F-D86D93D00769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6D81-4460-92B0-57651F0D243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DF97885-2B8E-42A6-A6F2-C1C59DD1B95E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6D81-4460-92B0-57651F0D243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B32FEA0-E71A-48E6-A308-61DB1F82224B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6D81-4460-92B0-57651F0D243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07E681B-6C18-45A7-90E5-187D9FE15982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33E-411B-888F-3774FAD96E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FF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i-FI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'Laskenta tulopuoli'!$AF$15:$AF$19</c:f>
              <c:numCache>
                <c:formatCode>0.00</c:formatCode>
                <c:ptCount val="5"/>
                <c:pt idx="0">
                  <c:v>80.5</c:v>
                </c:pt>
                <c:pt idx="1">
                  <c:v>60.5</c:v>
                </c:pt>
                <c:pt idx="2">
                  <c:v>35.5</c:v>
                </c:pt>
                <c:pt idx="3">
                  <c:v>16</c:v>
                </c:pt>
                <c:pt idx="4">
                  <c:v>7</c:v>
                </c:pt>
              </c:numCache>
            </c:numRef>
          </c:xVal>
          <c:yVal>
            <c:numRef>
              <c:f>'Laskenta tulopuoli'!$AG$15:$AG$19</c:f>
              <c:numCache>
                <c:formatCode>0.00</c:formatCode>
                <c:ptCount val="5"/>
                <c:pt idx="0">
                  <c:v>623.49457205652197</c:v>
                </c:pt>
                <c:pt idx="1">
                  <c:v>468.68942755041184</c:v>
                </c:pt>
                <c:pt idx="2">
                  <c:v>274.72502656817181</c:v>
                </c:pt>
                <c:pt idx="3">
                  <c:v>124.80155256851907</c:v>
                </c:pt>
                <c:pt idx="4">
                  <c:v>23.802262315777739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'Laskenta poistopuoli'!$AE$15:$AE$19</c15:f>
                <c15:dlblRangeCache>
                  <c:ptCount val="5"/>
                  <c:pt idx="0">
                    <c:v>10 V</c:v>
                  </c:pt>
                  <c:pt idx="1">
                    <c:v>8 V</c:v>
                  </c:pt>
                  <c:pt idx="2">
                    <c:v>6 V</c:v>
                  </c:pt>
                  <c:pt idx="3">
                    <c:v>4 V</c:v>
                  </c:pt>
                  <c:pt idx="4">
                    <c:v>2 V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6D81-4460-92B0-57651F0D2430}"/>
            </c:ext>
          </c:extLst>
        </c:ser>
        <c:ser>
          <c:idx val="5"/>
          <c:order val="6"/>
          <c:tx>
            <c:v>Tulo mitoituspiste</c:v>
          </c:tx>
          <c:spPr>
            <a:ln w="25400" cap="rnd">
              <a:noFill/>
              <a:round/>
            </a:ln>
            <a:effectLst/>
          </c:spPr>
          <c:marker>
            <c:symbol val="x"/>
            <c:size val="7"/>
            <c:spPr>
              <a:noFill/>
              <a:ln w="19050">
                <a:solidFill>
                  <a:srgbClr val="FF0000"/>
                </a:solidFill>
              </a:ln>
              <a:effectLst/>
            </c:spPr>
          </c:marker>
          <c:xVal>
            <c:numRef>
              <c:f>Tulostus!$J$36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Tulostus!$J$37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6D81-4460-92B0-57651F0D2430}"/>
            </c:ext>
          </c:extLst>
        </c:ser>
        <c:ser>
          <c:idx val="6"/>
          <c:order val="7"/>
          <c:tx>
            <c:strRef>
              <c:f>'Laskenta poistopuoli'!$AE$5</c:f>
              <c:strCache>
                <c:ptCount val="1"/>
                <c:pt idx="0">
                  <c:v>Poisto 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poistopuoli'!$AE$7:$AE$11</c:f>
              <c:numCache>
                <c:formatCode>General</c:formatCode>
                <c:ptCount val="5"/>
                <c:pt idx="0">
                  <c:v>167.5</c:v>
                </c:pt>
                <c:pt idx="1">
                  <c:v>146.875</c:v>
                </c:pt>
                <c:pt idx="2">
                  <c:v>126.25</c:v>
                </c:pt>
                <c:pt idx="3">
                  <c:v>105.625</c:v>
                </c:pt>
                <c:pt idx="4">
                  <c:v>85</c:v>
                </c:pt>
              </c:numCache>
            </c:numRef>
          </c:xVal>
          <c:yVal>
            <c:numRef>
              <c:f>'Laskenta poistopuoli'!$AF$7:$AF$11</c:f>
              <c:numCache>
                <c:formatCode>0.0</c:formatCode>
                <c:ptCount val="5"/>
                <c:pt idx="0">
                  <c:v>1.244738074246925</c:v>
                </c:pt>
                <c:pt idx="1">
                  <c:v>193.82588789080341</c:v>
                </c:pt>
                <c:pt idx="2">
                  <c:v>367.17104572012954</c:v>
                </c:pt>
                <c:pt idx="3">
                  <c:v>521.28021156222542</c:v>
                </c:pt>
                <c:pt idx="4">
                  <c:v>656.15338541709093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6D81-4460-92B0-57651F0D2430}"/>
            </c:ext>
          </c:extLst>
        </c:ser>
        <c:ser>
          <c:idx val="7"/>
          <c:order val="8"/>
          <c:tx>
            <c:strRef>
              <c:f>'Laskenta poistopuoli'!$AG$5</c:f>
              <c:strCache>
                <c:ptCount val="1"/>
                <c:pt idx="0">
                  <c:v>Poisto 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poistopuoli'!$AG$7:$AG$11</c:f>
              <c:numCache>
                <c:formatCode>General</c:formatCode>
                <c:ptCount val="5"/>
                <c:pt idx="0">
                  <c:v>141.6</c:v>
                </c:pt>
                <c:pt idx="1">
                  <c:v>122.19999999999999</c:v>
                </c:pt>
                <c:pt idx="2">
                  <c:v>102.8</c:v>
                </c:pt>
                <c:pt idx="3">
                  <c:v>83.4</c:v>
                </c:pt>
                <c:pt idx="4">
                  <c:v>64</c:v>
                </c:pt>
              </c:numCache>
            </c:numRef>
          </c:xVal>
          <c:yVal>
            <c:numRef>
              <c:f>'Laskenta poistopuoli'!$AH$7:$AH$11</c:f>
              <c:numCache>
                <c:formatCode>0.0</c:formatCode>
                <c:ptCount val="5"/>
                <c:pt idx="0">
                  <c:v>0.88547404721691692</c:v>
                </c:pt>
                <c:pt idx="1">
                  <c:v>163.70627796483774</c:v>
                </c:pt>
                <c:pt idx="2">
                  <c:v>300.45783012527761</c:v>
                </c:pt>
                <c:pt idx="3">
                  <c:v>411.14013052853682</c:v>
                </c:pt>
                <c:pt idx="4">
                  <c:v>495.75317917461535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6D81-4460-92B0-57651F0D2430}"/>
            </c:ext>
          </c:extLst>
        </c:ser>
        <c:ser>
          <c:idx val="8"/>
          <c:order val="9"/>
          <c:tx>
            <c:strRef>
              <c:f>'Laskenta poistopuoli'!$AI$5</c:f>
              <c:strCache>
                <c:ptCount val="1"/>
                <c:pt idx="0">
                  <c:v>Poisto 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poistopuoli'!$AI$7:$AI$11</c:f>
              <c:numCache>
                <c:formatCode>General</c:formatCode>
                <c:ptCount val="5"/>
                <c:pt idx="0">
                  <c:v>101.8</c:v>
                </c:pt>
                <c:pt idx="1">
                  <c:v>85.974999999999994</c:v>
                </c:pt>
                <c:pt idx="2">
                  <c:v>70.150000000000006</c:v>
                </c:pt>
                <c:pt idx="3">
                  <c:v>54.325000000000003</c:v>
                </c:pt>
                <c:pt idx="4">
                  <c:v>38.5</c:v>
                </c:pt>
              </c:numCache>
            </c:numRef>
          </c:xVal>
          <c:yVal>
            <c:numRef>
              <c:f>'Laskenta poistopuoli'!$AJ$7:$AJ$11</c:f>
              <c:numCache>
                <c:formatCode>0.0</c:formatCode>
                <c:ptCount val="5"/>
                <c:pt idx="0">
                  <c:v>1.1071270985254955</c:v>
                </c:pt>
                <c:pt idx="1">
                  <c:v>103.97712028914458</c:v>
                </c:pt>
                <c:pt idx="2">
                  <c:v>187.33160014037577</c:v>
                </c:pt>
                <c:pt idx="3">
                  <c:v>251.17056665221935</c:v>
                </c:pt>
                <c:pt idx="4">
                  <c:v>295.49401982467521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6D81-4460-92B0-57651F0D2430}"/>
            </c:ext>
          </c:extLst>
        </c:ser>
        <c:ser>
          <c:idx val="9"/>
          <c:order val="10"/>
          <c:tx>
            <c:strRef>
              <c:f>'Laskenta poistopuoli'!$AK$5</c:f>
              <c:strCache>
                <c:ptCount val="1"/>
                <c:pt idx="0">
                  <c:v>Poisto 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poistopuoli'!$AK$7:$AK$11</c:f>
              <c:numCache>
                <c:formatCode>General</c:formatCode>
                <c:ptCount val="5"/>
                <c:pt idx="0">
                  <c:v>64</c:v>
                </c:pt>
                <c:pt idx="1">
                  <c:v>52.5</c:v>
                </c:pt>
                <c:pt idx="2">
                  <c:v>41</c:v>
                </c:pt>
                <c:pt idx="3">
                  <c:v>29.5</c:v>
                </c:pt>
                <c:pt idx="4">
                  <c:v>18</c:v>
                </c:pt>
              </c:numCache>
            </c:numRef>
          </c:xVal>
          <c:yVal>
            <c:numRef>
              <c:f>'Laskenta poistopuoli'!$AL$7:$AL$11</c:f>
              <c:numCache>
                <c:formatCode>0.0</c:formatCode>
                <c:ptCount val="5"/>
                <c:pt idx="0">
                  <c:v>0.6775740691473402</c:v>
                </c:pt>
                <c:pt idx="1">
                  <c:v>49.918115313974027</c:v>
                </c:pt>
                <c:pt idx="2">
                  <c:v>88.093885294251052</c:v>
                </c:pt>
                <c:pt idx="3">
                  <c:v>115.20488400997843</c:v>
                </c:pt>
                <c:pt idx="4">
                  <c:v>131.25111146115614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6D81-4460-92B0-57651F0D2430}"/>
            </c:ext>
          </c:extLst>
        </c:ser>
        <c:ser>
          <c:idx val="15"/>
          <c:order val="11"/>
          <c:tx>
            <c:strRef>
              <c:f>'Laskenta poistopuoli'!$AM$5</c:f>
              <c:strCache>
                <c:ptCount val="1"/>
                <c:pt idx="0">
                  <c:v>Poisto 2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poistopuoli'!$AM$7:$AM$11</c:f>
              <c:numCache>
                <c:formatCode>General</c:formatCode>
                <c:ptCount val="5"/>
                <c:pt idx="0">
                  <c:v>26.5</c:v>
                </c:pt>
                <c:pt idx="1">
                  <c:v>21.125</c:v>
                </c:pt>
                <c:pt idx="2">
                  <c:v>15.75</c:v>
                </c:pt>
                <c:pt idx="3">
                  <c:v>10.375</c:v>
                </c:pt>
                <c:pt idx="4">
                  <c:v>5</c:v>
                </c:pt>
              </c:numCache>
            </c:numRef>
          </c:xVal>
          <c:yVal>
            <c:numRef>
              <c:f>'Laskenta poistopuoli'!$AN$7:$AN$11</c:f>
              <c:numCache>
                <c:formatCode>0.0</c:formatCode>
                <c:ptCount val="5"/>
                <c:pt idx="0">
                  <c:v>0.96833091683125616</c:v>
                </c:pt>
                <c:pt idx="1">
                  <c:v>11.213331811125673</c:v>
                </c:pt>
                <c:pt idx="2">
                  <c:v>19.174497602455105</c:v>
                </c:pt>
                <c:pt idx="3">
                  <c:v>24.851828290819551</c:v>
                </c:pt>
                <c:pt idx="4">
                  <c:v>28.245323876219011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A33E-411B-888F-3774FAD96E84}"/>
            </c:ext>
          </c:extLst>
        </c:ser>
        <c:ser>
          <c:idx val="10"/>
          <c:order val="12"/>
          <c:tx>
            <c:v>Poisto otsikot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E7C2DBDA-E644-4DAF-BB7B-91263DD6D5A7}" type="CELLRANGE">
                      <a:rPr lang="en-US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6D81-4460-92B0-57651F0D243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9F59EBD-1FCD-47C9-9B5F-957F24718930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6D81-4460-92B0-57651F0D243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0309E91-9618-4A02-A7F3-2282F0C5D576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6D81-4460-92B0-57651F0D243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C5E4A76-595C-40BE-98F1-D3D25998E9E7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6D81-4460-92B0-57651F0D243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D969D3EA-CECD-4C28-8D8F-969EBABDCC09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33E-411B-888F-3774FAD96E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i-FI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'Laskenta poistopuoli'!$AF$15:$AF$19</c:f>
              <c:numCache>
                <c:formatCode>0.00</c:formatCode>
                <c:ptCount val="5"/>
                <c:pt idx="0">
                  <c:v>85</c:v>
                </c:pt>
                <c:pt idx="1">
                  <c:v>64</c:v>
                </c:pt>
                <c:pt idx="2">
                  <c:v>38.5</c:v>
                </c:pt>
                <c:pt idx="3">
                  <c:v>18</c:v>
                </c:pt>
                <c:pt idx="4">
                  <c:v>7</c:v>
                </c:pt>
              </c:numCache>
            </c:numRef>
          </c:xVal>
          <c:yVal>
            <c:numRef>
              <c:f>'Laskenta poistopuoli'!$AG$15:$AG$19</c:f>
              <c:numCache>
                <c:formatCode>0.00</c:formatCode>
                <c:ptCount val="5"/>
                <c:pt idx="0">
                  <c:v>656.15338541709093</c:v>
                </c:pt>
                <c:pt idx="1">
                  <c:v>495.75317917461535</c:v>
                </c:pt>
                <c:pt idx="2">
                  <c:v>295.49401982467521</c:v>
                </c:pt>
                <c:pt idx="3">
                  <c:v>141.25111146115614</c:v>
                </c:pt>
                <c:pt idx="4">
                  <c:v>40.245323876219011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'Laskenta poistopuoli'!$AE$15:$AE$19</c15:f>
                <c15:dlblRangeCache>
                  <c:ptCount val="5"/>
                  <c:pt idx="0">
                    <c:v>10 V</c:v>
                  </c:pt>
                  <c:pt idx="1">
                    <c:v>8 V</c:v>
                  </c:pt>
                  <c:pt idx="2">
                    <c:v>6 V</c:v>
                  </c:pt>
                  <c:pt idx="3">
                    <c:v>4 V</c:v>
                  </c:pt>
                  <c:pt idx="4">
                    <c:v>2 V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2-6D81-4460-92B0-57651F0D2430}"/>
            </c:ext>
          </c:extLst>
        </c:ser>
        <c:ser>
          <c:idx val="11"/>
          <c:order val="13"/>
          <c:tx>
            <c:v>Poisto mitoituspiste</c:v>
          </c:tx>
          <c:spPr>
            <a:ln w="25400" cap="rnd">
              <a:noFill/>
              <a:round/>
            </a:ln>
            <a:effectLst/>
          </c:spPr>
          <c:marker>
            <c:symbol val="x"/>
            <c:size val="7"/>
            <c:spPr>
              <a:noFill/>
              <a:ln w="19050">
                <a:solidFill>
                  <a:schemeClr val="tx1"/>
                </a:solidFill>
              </a:ln>
              <a:effectLst/>
            </c:spPr>
          </c:marker>
          <c:xVal>
            <c:numRef>
              <c:f>Tulostus!$L$36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Tulostus!$L$37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6D81-4460-92B0-57651F0D2430}"/>
            </c:ext>
          </c:extLst>
        </c:ser>
        <c:ser>
          <c:idx val="12"/>
          <c:order val="14"/>
          <c:tx>
            <c:strRef>
              <c:f>'SFP ja kokonaisteho'!$O$2</c:f>
              <c:strCache>
                <c:ptCount val="1"/>
                <c:pt idx="0">
                  <c:v>SFP =
 1,8 kW/m³/s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xVal>
            <c:numRef>
              <c:f>'SFP ja kokonaisteho'!$O$5:$O$16</c:f>
              <c:numCache>
                <c:formatCode>General</c:formatCode>
                <c:ptCount val="12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70</c:v>
                </c:pt>
                <c:pt idx="6">
                  <c:v>90</c:v>
                </c:pt>
                <c:pt idx="7">
                  <c:v>110</c:v>
                </c:pt>
                <c:pt idx="8">
                  <c:v>130</c:v>
                </c:pt>
                <c:pt idx="9">
                  <c:v>140</c:v>
                </c:pt>
                <c:pt idx="10">
                  <c:v>145</c:v>
                </c:pt>
                <c:pt idx="11">
                  <c:v>148</c:v>
                </c:pt>
              </c:numCache>
            </c:numRef>
          </c:xVal>
          <c:yVal>
            <c:numRef>
              <c:f>'SFP ja kokonaisteho'!$P$5:$P$16</c:f>
              <c:numCache>
                <c:formatCode>General</c:formatCode>
                <c:ptCount val="12"/>
                <c:pt idx="0">
                  <c:v>4</c:v>
                </c:pt>
                <c:pt idx="1">
                  <c:v>100</c:v>
                </c:pt>
                <c:pt idx="2">
                  <c:v>148.9</c:v>
                </c:pt>
                <c:pt idx="3">
                  <c:v>191.2</c:v>
                </c:pt>
                <c:pt idx="4">
                  <c:v>206.8</c:v>
                </c:pt>
                <c:pt idx="5">
                  <c:v>205.6</c:v>
                </c:pt>
                <c:pt idx="6">
                  <c:v>181.5</c:v>
                </c:pt>
                <c:pt idx="7">
                  <c:v>134.69999999999999</c:v>
                </c:pt>
                <c:pt idx="8">
                  <c:v>70.2</c:v>
                </c:pt>
                <c:pt idx="9">
                  <c:v>31.2</c:v>
                </c:pt>
                <c:pt idx="10">
                  <c:v>10</c:v>
                </c:pt>
                <c:pt idx="11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C-6D81-4460-92B0-57651F0D2430}"/>
            </c:ext>
          </c:extLst>
        </c:ser>
        <c:ser>
          <c:idx val="13"/>
          <c:order val="15"/>
          <c:tx>
            <c:v>SFP otsikko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CF5F31EC-BE24-43A3-A176-3DC1D4676637}" type="CELLRANGE">
                      <a:rPr lang="en-US"/>
                      <a:pPr/>
                      <a:t>[SOLUALUE]</a:t>
                    </a:fld>
                    <a:endParaRPr lang="fi-FI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6D81-4460-92B0-57651F0D243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i-FI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'SFP ja kokonaisteho'!$O$20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'SFP ja kokonaisteho'!$P$20</c:f>
              <c:numCache>
                <c:formatCode>General</c:formatCode>
                <c:ptCount val="1"/>
                <c:pt idx="0">
                  <c:v>210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'SFP ja kokonaisteho'!$O$2</c15:f>
                <c15:dlblRangeCache>
                  <c:ptCount val="1"/>
                  <c:pt idx="0">
                    <c:v>SFP =
 1,8 kW/m³/s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E-6D81-4460-92B0-57651F0D2430}"/>
            </c:ext>
          </c:extLst>
        </c:ser>
        <c:ser>
          <c:idx val="16"/>
          <c:order val="16"/>
          <c:tx>
            <c:v>Verkkokäyrä tulo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power"/>
            <c:dispRSqr val="0"/>
            <c:dispEq val="0"/>
          </c:trendline>
          <c:xVal>
            <c:numRef>
              <c:f>'Laskenta tulopuoli'!$O$45:$O$53</c:f>
              <c:numCache>
                <c:formatCode>0.00</c:formatCode>
                <c:ptCount val="9"/>
                <c:pt idx="0">
                  <c:v>145.65364378431303</c:v>
                </c:pt>
                <c:pt idx="1">
                  <c:v>123.49583115646229</c:v>
                </c:pt>
                <c:pt idx="2">
                  <c:v>86.508692556320128</c:v>
                </c:pt>
                <c:pt idx="3">
                  <c:v>52.069137848972048</c:v>
                </c:pt>
                <c:pt idx="4">
                  <c:v>19.084095863382036</c:v>
                </c:pt>
                <c:pt idx="5" formatCode="General">
                  <c:v>5</c:v>
                </c:pt>
              </c:numCache>
            </c:numRef>
          </c:xVal>
          <c:yVal>
            <c:numRef>
              <c:f>'Laskenta tulopuoli'!$P$45:$P$53</c:f>
              <c:numCache>
                <c:formatCode>0.0</c:formatCode>
                <c:ptCount val="9"/>
                <c:pt idx="0">
                  <c:v>150.33293613695827</c:v>
                </c:pt>
                <c:pt idx="1">
                  <c:v>108.07270629978346</c:v>
                </c:pt>
                <c:pt idx="2">
                  <c:v>53.031135826274927</c:v>
                </c:pt>
                <c:pt idx="3">
                  <c:v>19.211983534121693</c:v>
                </c:pt>
                <c:pt idx="4">
                  <c:v>2.5808015513233795</c:v>
                </c:pt>
                <c:pt idx="5" formatCode="General">
                  <c:v>0.17715419501133789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EBEB-46E0-8128-9E3570BAF225}"/>
            </c:ext>
          </c:extLst>
        </c:ser>
        <c:ser>
          <c:idx val="17"/>
          <c:order val="17"/>
          <c:tx>
            <c:v>Verkkokäyrä poisto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power"/>
            <c:dispRSqr val="0"/>
            <c:dispEq val="0"/>
          </c:trendline>
          <c:xVal>
            <c:numRef>
              <c:f>'Laskenta poistopuoli'!$O$45:$O$50</c:f>
              <c:numCache>
                <c:formatCode>0.00</c:formatCode>
                <c:ptCount val="6"/>
                <c:pt idx="0">
                  <c:v>150.57772069495383</c:v>
                </c:pt>
                <c:pt idx="1">
                  <c:v>128.16693998999935</c:v>
                </c:pt>
                <c:pt idx="2">
                  <c:v>92.926642758702698</c:v>
                </c:pt>
                <c:pt idx="3">
                  <c:v>58.763814207834933</c:v>
                </c:pt>
                <c:pt idx="4">
                  <c:v>24.841612180719387</c:v>
                </c:pt>
                <c:pt idx="5" formatCode="General">
                  <c:v>5</c:v>
                </c:pt>
              </c:numCache>
            </c:numRef>
          </c:xVal>
          <c:yVal>
            <c:numRef>
              <c:f>'Laskenta poistopuoli'!$P$45:$P$50</c:f>
              <c:numCache>
                <c:formatCode>0.0</c:formatCode>
                <c:ptCount val="6"/>
                <c:pt idx="0">
                  <c:v>160.66928833395357</c:v>
                </c:pt>
                <c:pt idx="1">
                  <c:v>116.40280971088502</c:v>
                </c:pt>
                <c:pt idx="2">
                  <c:v>61.191616598664631</c:v>
                </c:pt>
                <c:pt idx="3">
                  <c:v>24.469854451905775</c:v>
                </c:pt>
                <c:pt idx="4">
                  <c:v>4.3729145106098768</c:v>
                </c:pt>
                <c:pt idx="5" formatCode="General">
                  <c:v>0.17715419501133789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EBEB-46E0-8128-9E3570BAF225}"/>
            </c:ext>
          </c:extLst>
        </c:ser>
        <c:ser>
          <c:idx val="18"/>
          <c:order val="18"/>
          <c:tx>
            <c:v>Yläraja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9525" cap="rnd">
                <a:solidFill>
                  <a:schemeClr val="bg1">
                    <a:lumMod val="75000"/>
                  </a:schemeClr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xVal>
            <c:numRef>
              <c:f>'Laskenta tulopuoli'!$I$82:$I$85</c:f>
              <c:numCache>
                <c:formatCode>0.0</c:formatCode>
                <c:ptCount val="4"/>
                <c:pt idx="0">
                  <c:v>5</c:v>
                </c:pt>
                <c:pt idx="1">
                  <c:v>31.666666666666668</c:v>
                </c:pt>
                <c:pt idx="2">
                  <c:v>58.333333333333336</c:v>
                </c:pt>
                <c:pt idx="3">
                  <c:v>85</c:v>
                </c:pt>
              </c:numCache>
            </c:numRef>
          </c:xVal>
          <c:yVal>
            <c:numRef>
              <c:f>'Laskenta tulopuoli'!$J$82:$J$85</c:f>
              <c:numCache>
                <c:formatCode>0.0</c:formatCode>
                <c:ptCount val="4"/>
                <c:pt idx="0">
                  <c:v>38.823529411764703</c:v>
                </c:pt>
                <c:pt idx="1">
                  <c:v>245.88235294117649</c:v>
                </c:pt>
                <c:pt idx="2">
                  <c:v>452.94117647058823</c:v>
                </c:pt>
                <c:pt idx="3">
                  <c:v>660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977-4F1B-B9F9-14512B938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70080"/>
        <c:axId val="486575072"/>
      </c:scatterChart>
      <c:valAx>
        <c:axId val="486570080"/>
        <c:scaling>
          <c:orientation val="minMax"/>
          <c:max val="1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r>
                  <a:rPr lang="fi-FI"/>
                  <a:t>Ilman 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entury Gothic" panose="020B0502020202020204" pitchFamily="34" charset="0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i-FI"/>
          </a:p>
        </c:txPr>
        <c:crossAx val="486575072"/>
        <c:crosses val="autoZero"/>
        <c:crossBetween val="midCat"/>
        <c:majorUnit val="20"/>
        <c:minorUnit val="10"/>
      </c:valAx>
      <c:valAx>
        <c:axId val="486575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r>
                  <a:rPr lang="fi-FI"/>
                  <a:t>Paine-ero P</a:t>
                </a:r>
                <a:r>
                  <a:rPr lang="fi-FI" baseline="-25000"/>
                  <a:t>f</a:t>
                </a:r>
                <a:r>
                  <a:rPr lang="fi-FI"/>
                  <a:t> [Pa]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entury Gothic" panose="020B0502020202020204" pitchFamily="34" charset="0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i-FI"/>
          </a:p>
        </c:txPr>
        <c:crossAx val="486570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Tulopuoli</a:t>
            </a:r>
            <a:br>
              <a:rPr lang="fi-FI"/>
            </a:br>
            <a:r>
              <a:rPr lang="fi-FI" sz="1000"/>
              <a:t>Mittaustulokset ja sovitteet</a:t>
            </a:r>
            <a:endParaRPr lang="fi-FI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'Laskenta tulopuoli'!$B$8</c:f>
              <c:strCache>
                <c:ptCount val="1"/>
                <c:pt idx="0">
                  <c:v>Tulo 10 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forward val="10"/>
            <c:dispRSqr val="1"/>
            <c:dispEq val="1"/>
            <c:trendlineLbl>
              <c:layout>
                <c:manualLayout>
                  <c:x val="-0.59172858875754819"/>
                  <c:y val="-0.56445697595059852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solidFill>
                    <a:schemeClr val="tx2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tulopuoli'!$B$10:$B$26</c:f>
              <c:numCache>
                <c:formatCode>0.0</c:formatCode>
                <c:ptCount val="17"/>
                <c:pt idx="0">
                  <c:v>161.2532236694079</c:v>
                </c:pt>
                <c:pt idx="1">
                  <c:v>151.47698334539831</c:v>
                </c:pt>
                <c:pt idx="2">
                  <c:v>155.44368485760836</c:v>
                </c:pt>
                <c:pt idx="3">
                  <c:v>146.41054912523151</c:v>
                </c:pt>
                <c:pt idx="4">
                  <c:v>139.02972788116574</c:v>
                </c:pt>
                <c:pt idx="5">
                  <c:v>134.22877143064406</c:v>
                </c:pt>
                <c:pt idx="6">
                  <c:v>127.92848522109036</c:v>
                </c:pt>
                <c:pt idx="7">
                  <c:v>117.46584491112053</c:v>
                </c:pt>
                <c:pt idx="8">
                  <c:v>112.06828070689804</c:v>
                </c:pt>
                <c:pt idx="9">
                  <c:v>106.01400840111911</c:v>
                </c:pt>
                <c:pt idx="10">
                  <c:v>99.55813321294815</c:v>
                </c:pt>
                <c:pt idx="11">
                  <c:v>90.535814522443474</c:v>
                </c:pt>
                <c:pt idx="12">
                  <c:v>81.067285536572712</c:v>
                </c:pt>
                <c:pt idx="13">
                  <c:v>68.043691847100675</c:v>
                </c:pt>
                <c:pt idx="14">
                  <c:v>34.855134891560184</c:v>
                </c:pt>
              </c:numCache>
            </c:numRef>
          </c:xVal>
          <c:yVal>
            <c:numRef>
              <c:f>'Laskenta tulopuoli'!$C$10:$C$26</c:f>
              <c:numCache>
                <c:formatCode>0.0</c:formatCode>
                <c:ptCount val="17"/>
                <c:pt idx="0">
                  <c:v>12.589534520464724</c:v>
                </c:pt>
                <c:pt idx="1">
                  <c:v>99.159868274249121</c:v>
                </c:pt>
                <c:pt idx="2">
                  <c:v>67.716329534955548</c:v>
                </c:pt>
                <c:pt idx="3">
                  <c:v>140.80974399640741</c:v>
                </c:pt>
                <c:pt idx="4">
                  <c:v>207.89134665849471</c:v>
                </c:pt>
                <c:pt idx="5">
                  <c:v>253.65100784405911</c:v>
                </c:pt>
                <c:pt idx="6">
                  <c:v>299.92703884858435</c:v>
                </c:pt>
                <c:pt idx="7">
                  <c:v>360.26176392699188</c:v>
                </c:pt>
                <c:pt idx="8">
                  <c:v>405.86837446374608</c:v>
                </c:pt>
                <c:pt idx="9">
                  <c:v>454.5735273857473</c:v>
                </c:pt>
                <c:pt idx="10">
                  <c:v>504.35556757523682</c:v>
                </c:pt>
                <c:pt idx="11">
                  <c:v>562.92278160043543</c:v>
                </c:pt>
                <c:pt idx="12">
                  <c:v>625.82556842687518</c:v>
                </c:pt>
                <c:pt idx="13">
                  <c:v>709.05783312479764</c:v>
                </c:pt>
                <c:pt idx="14">
                  <c:v>845.24574446149143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33-4F43-AE89-1649907B1D55}"/>
            </c:ext>
          </c:extLst>
        </c:ser>
        <c:ser>
          <c:idx val="1"/>
          <c:order val="1"/>
          <c:tx>
            <c:strRef>
              <c:f>'Laskenta tulopuoli'!$B$29</c:f>
              <c:strCache>
                <c:ptCount val="1"/>
                <c:pt idx="0">
                  <c:v>Tulo 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forward val="10"/>
            <c:backward val="20"/>
            <c:dispRSqr val="1"/>
            <c:dispEq val="1"/>
            <c:trendlineLbl>
              <c:layout>
                <c:manualLayout>
                  <c:x val="-0.51011915375753569"/>
                  <c:y val="-0.40361081421302358"/>
                </c:manualLayout>
              </c:layout>
              <c:numFmt formatCode="General" sourceLinked="0"/>
              <c:spPr>
                <a:solidFill>
                  <a:schemeClr val="accent2">
                    <a:lumMod val="20000"/>
                    <a:lumOff val="80000"/>
                  </a:schemeClr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tulopuoli'!$B$31:$B$41</c:f>
              <c:numCache>
                <c:formatCode>0.00</c:formatCode>
                <c:ptCount val="11"/>
                <c:pt idx="0">
                  <c:v>135.56075750610708</c:v>
                </c:pt>
                <c:pt idx="1">
                  <c:v>130.63631387858101</c:v>
                </c:pt>
                <c:pt idx="2">
                  <c:v>124.62732533886042</c:v>
                </c:pt>
                <c:pt idx="3">
                  <c:v>117.18918981914862</c:v>
                </c:pt>
                <c:pt idx="4">
                  <c:v>111.04521999632041</c:v>
                </c:pt>
                <c:pt idx="5">
                  <c:v>100.97425844335935</c:v>
                </c:pt>
                <c:pt idx="6">
                  <c:v>93.772165084031528</c:v>
                </c:pt>
                <c:pt idx="7">
                  <c:v>85.758245265667185</c:v>
                </c:pt>
                <c:pt idx="8">
                  <c:v>76.053116296246799</c:v>
                </c:pt>
                <c:pt idx="9">
                  <c:v>64.629970196748786</c:v>
                </c:pt>
                <c:pt idx="10">
                  <c:v>50.728913224199957</c:v>
                </c:pt>
              </c:numCache>
            </c:numRef>
          </c:xVal>
          <c:yVal>
            <c:numRef>
              <c:f>'Laskenta tulopuoli'!$C$31:$C$41</c:f>
              <c:numCache>
                <c:formatCode>0.0</c:formatCode>
                <c:ptCount val="11"/>
                <c:pt idx="0">
                  <c:v>7.2985681448644435</c:v>
                </c:pt>
                <c:pt idx="1">
                  <c:v>53.107094687432777</c:v>
                </c:pt>
                <c:pt idx="2">
                  <c:v>101.59284167509514</c:v>
                </c:pt>
                <c:pt idx="3">
                  <c:v>159.37364036595989</c:v>
                </c:pt>
                <c:pt idx="4">
                  <c:v>202.99882998569197</c:v>
                </c:pt>
                <c:pt idx="5">
                  <c:v>257.07550327220724</c:v>
                </c:pt>
                <c:pt idx="6">
                  <c:v>303.9910980658093</c:v>
                </c:pt>
                <c:pt idx="7">
                  <c:v>353.7429333182489</c:v>
                </c:pt>
                <c:pt idx="8">
                  <c:v>404.94191987134639</c:v>
                </c:pt>
                <c:pt idx="9">
                  <c:v>455.11407183442213</c:v>
                </c:pt>
                <c:pt idx="10">
                  <c:v>505.34744878194465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833-4F43-AE89-1649907B1D55}"/>
            </c:ext>
          </c:extLst>
        </c:ser>
        <c:ser>
          <c:idx val="3"/>
          <c:order val="2"/>
          <c:tx>
            <c:strRef>
              <c:f>'Laskenta tulopuoli'!$B$44</c:f>
              <c:strCache>
                <c:ptCount val="1"/>
                <c:pt idx="0">
                  <c:v>Tulo 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olid"/>
              </a:ln>
              <a:effectLst/>
            </c:spPr>
            <c:trendlineType val="poly"/>
            <c:order val="2"/>
            <c:forward val="15"/>
            <c:backward val="30"/>
            <c:dispRSqr val="1"/>
            <c:dispEq val="1"/>
            <c:trendlineLbl>
              <c:layout>
                <c:manualLayout>
                  <c:x val="-0.33341262326864207"/>
                  <c:y val="-0.31313715741404274"/>
                </c:manualLayout>
              </c:layout>
              <c:numFmt formatCode="General" sourceLinked="0"/>
              <c:spPr>
                <a:solidFill>
                  <a:schemeClr val="accent4">
                    <a:lumMod val="20000"/>
                    <a:lumOff val="80000"/>
                  </a:schemeClr>
                </a:solidFill>
                <a:ln>
                  <a:solidFill>
                    <a:schemeClr val="accent4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tulopuoli'!$B$46:$B$53</c:f>
              <c:numCache>
                <c:formatCode>0.00</c:formatCode>
                <c:ptCount val="8"/>
                <c:pt idx="0">
                  <c:v>93.591612514317717</c:v>
                </c:pt>
                <c:pt idx="1">
                  <c:v>87.949327734133817</c:v>
                </c:pt>
                <c:pt idx="2">
                  <c:v>81.244469214257805</c:v>
                </c:pt>
                <c:pt idx="3">
                  <c:v>74.446297409557502</c:v>
                </c:pt>
                <c:pt idx="4">
                  <c:v>66.985914316129268</c:v>
                </c:pt>
                <c:pt idx="5">
                  <c:v>57.401277923323931</c:v>
                </c:pt>
                <c:pt idx="6">
                  <c:v>46.551996151668753</c:v>
                </c:pt>
                <c:pt idx="7">
                  <c:v>31.463307288085588</c:v>
                </c:pt>
              </c:numCache>
            </c:numRef>
          </c:xVal>
          <c:yVal>
            <c:numRef>
              <c:f>'Laskenta tulopuoli'!$C$46:$C$53</c:f>
              <c:numCache>
                <c:formatCode>0.0</c:formatCode>
                <c:ptCount val="8"/>
                <c:pt idx="0">
                  <c:v>6.4708807726482505</c:v>
                </c:pt>
                <c:pt idx="1">
                  <c:v>43.93070551801982</c:v>
                </c:pt>
                <c:pt idx="2">
                  <c:v>85.066537725925457</c:v>
                </c:pt>
                <c:pt idx="3">
                  <c:v>123.21640741464911</c:v>
                </c:pt>
                <c:pt idx="4">
                  <c:v>161.72636700877374</c:v>
                </c:pt>
                <c:pt idx="5">
                  <c:v>204.33532835373816</c:v>
                </c:pt>
                <c:pt idx="6">
                  <c:v>243.10866761542945</c:v>
                </c:pt>
                <c:pt idx="7">
                  <c:v>283.89826637903229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833-4F43-AE89-1649907B1D55}"/>
            </c:ext>
          </c:extLst>
        </c:ser>
        <c:ser>
          <c:idx val="4"/>
          <c:order val="3"/>
          <c:tx>
            <c:strRef>
              <c:f>'Laskenta tulopuoli'!$B$57</c:f>
              <c:strCache>
                <c:ptCount val="1"/>
                <c:pt idx="0">
                  <c:v>Tulo 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forward val="25"/>
            <c:backward val="20"/>
            <c:dispRSqr val="1"/>
            <c:dispEq val="1"/>
            <c:trendlineLbl>
              <c:layout>
                <c:manualLayout>
                  <c:x val="-0.12409137979675705"/>
                  <c:y val="-0.15117114964545086"/>
                </c:manualLayout>
              </c:layout>
              <c:numFmt formatCode="General" sourceLinked="0"/>
              <c:spPr>
                <a:solidFill>
                  <a:schemeClr val="accent5">
                    <a:lumMod val="20000"/>
                    <a:lumOff val="80000"/>
                  </a:schemeClr>
                </a:solidFill>
                <a:ln>
                  <a:solidFill>
                    <a:schemeClr val="accent5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tulopuoli'!$B$59:$B$63</c:f>
              <c:numCache>
                <c:formatCode>0.00</c:formatCode>
                <c:ptCount val="5"/>
                <c:pt idx="0">
                  <c:v>55.099329322945053</c:v>
                </c:pt>
                <c:pt idx="1">
                  <c:v>47.709267951218294</c:v>
                </c:pt>
                <c:pt idx="2">
                  <c:v>37.445207442562555</c:v>
                </c:pt>
                <c:pt idx="3">
                  <c:v>23.867734761456163</c:v>
                </c:pt>
                <c:pt idx="4">
                  <c:v>10.197175285058821</c:v>
                </c:pt>
              </c:numCache>
            </c:numRef>
          </c:xVal>
          <c:yVal>
            <c:numRef>
              <c:f>'Laskenta tulopuoli'!$C$59:$C$63</c:f>
              <c:numCache>
                <c:formatCode>0.0</c:formatCode>
                <c:ptCount val="5"/>
                <c:pt idx="0" formatCode="0.00">
                  <c:v>5.9898461236503273</c:v>
                </c:pt>
                <c:pt idx="1">
                  <c:v>36.889513774098411</c:v>
                </c:pt>
                <c:pt idx="2">
                  <c:v>73.06512020700913</c:v>
                </c:pt>
                <c:pt idx="3">
                  <c:v>107.55172128369327</c:v>
                </c:pt>
                <c:pt idx="4">
                  <c:v>130.92468129795037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833-4F43-AE89-1649907B1D55}"/>
            </c:ext>
          </c:extLst>
        </c:ser>
        <c:ser>
          <c:idx val="7"/>
          <c:order val="4"/>
          <c:tx>
            <c:v>Mitoituspisteen verkkokäyrä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2700" cap="rnd">
                <a:solidFill>
                  <a:schemeClr val="tx1"/>
                </a:solidFill>
                <a:prstDash val="dash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0.11239908736898084"/>
                  <c:y val="-3.936718813232046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tulopuoli'!$O$45:$O$53</c:f>
              <c:numCache>
                <c:formatCode>0.00</c:formatCode>
                <c:ptCount val="9"/>
                <c:pt idx="0">
                  <c:v>145.65364378431303</c:v>
                </c:pt>
                <c:pt idx="1">
                  <c:v>123.49583115646229</c:v>
                </c:pt>
                <c:pt idx="2">
                  <c:v>86.508692556320128</c:v>
                </c:pt>
                <c:pt idx="3">
                  <c:v>52.069137848972048</c:v>
                </c:pt>
                <c:pt idx="4">
                  <c:v>19.084095863382036</c:v>
                </c:pt>
                <c:pt idx="5" formatCode="General">
                  <c:v>5</c:v>
                </c:pt>
              </c:numCache>
            </c:numRef>
          </c:xVal>
          <c:yVal>
            <c:numRef>
              <c:f>'Laskenta tulopuoli'!$P$45:$P$53</c:f>
              <c:numCache>
                <c:formatCode>0.0</c:formatCode>
                <c:ptCount val="9"/>
                <c:pt idx="0">
                  <c:v>150.33293613695827</c:v>
                </c:pt>
                <c:pt idx="1">
                  <c:v>108.07270629978346</c:v>
                </c:pt>
                <c:pt idx="2">
                  <c:v>53.031135826274927</c:v>
                </c:pt>
                <c:pt idx="3">
                  <c:v>19.211983534121693</c:v>
                </c:pt>
                <c:pt idx="4">
                  <c:v>2.5808015513233795</c:v>
                </c:pt>
                <c:pt idx="5" formatCode="General">
                  <c:v>0.17715419501133789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833-4F43-AE89-1649907B1D55}"/>
            </c:ext>
          </c:extLst>
        </c:ser>
        <c:ser>
          <c:idx val="8"/>
          <c:order val="5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rgbClr val="FF0000"/>
              </a:solidFill>
              <a:ln w="9525">
                <a:solidFill>
                  <a:srgbClr val="600000"/>
                </a:solidFill>
              </a:ln>
              <a:effectLst/>
            </c:spPr>
          </c:marker>
          <c:xVal>
            <c:numRef>
              <c:f>'Laskenta tulopuoli'!$I$24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'Laskenta tulopuoli'!$I$25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C833-4F43-AE89-1649907B1D55}"/>
            </c:ext>
          </c:extLst>
        </c:ser>
        <c:ser>
          <c:idx val="9"/>
          <c:order val="6"/>
          <c:tx>
            <c:v>Yläraja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lgDash"/>
              </a:ln>
              <a:effectLst/>
            </c:spPr>
            <c:trendlineType val="powe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tulopuoli'!$I$82:$I$85</c:f>
              <c:numCache>
                <c:formatCode>0.0</c:formatCode>
                <c:ptCount val="4"/>
                <c:pt idx="0">
                  <c:v>5</c:v>
                </c:pt>
                <c:pt idx="1">
                  <c:v>31.666666666666668</c:v>
                </c:pt>
                <c:pt idx="2">
                  <c:v>58.333333333333336</c:v>
                </c:pt>
                <c:pt idx="3">
                  <c:v>85</c:v>
                </c:pt>
              </c:numCache>
            </c:numRef>
          </c:xVal>
          <c:yVal>
            <c:numRef>
              <c:f>'Laskenta tulopuoli'!$J$82:$J$85</c:f>
              <c:numCache>
                <c:formatCode>0.0</c:formatCode>
                <c:ptCount val="4"/>
                <c:pt idx="0">
                  <c:v>38.823529411764703</c:v>
                </c:pt>
                <c:pt idx="1">
                  <c:v>245.88235294117649</c:v>
                </c:pt>
                <c:pt idx="2">
                  <c:v>452.94117647058823</c:v>
                </c:pt>
                <c:pt idx="3">
                  <c:v>660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C833-4F43-AE89-1649907B1D55}"/>
            </c:ext>
          </c:extLst>
        </c:ser>
        <c:ser>
          <c:idx val="10"/>
          <c:order val="7"/>
          <c:tx>
            <c:v>Alaraja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lgDash"/>
              </a:ln>
              <a:effectLst/>
            </c:spPr>
            <c:trendlineType val="powe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tulopuoli'!$N$82:$N$85</c:f>
              <c:numCache>
                <c:formatCode>0.0</c:formatCode>
                <c:ptCount val="4"/>
                <c:pt idx="0">
                  <c:v>5</c:v>
                </c:pt>
                <c:pt idx="1">
                  <c:v>53.333333333333336</c:v>
                </c:pt>
                <c:pt idx="2">
                  <c:v>101.66666666666667</c:v>
                </c:pt>
                <c:pt idx="3">
                  <c:v>150</c:v>
                </c:pt>
              </c:numCache>
            </c:numRef>
          </c:xVal>
          <c:yVal>
            <c:numRef>
              <c:f>'Laskenta tulopuoli'!$O$82:$O$85</c:f>
              <c:numCache>
                <c:formatCode>0.0</c:formatCode>
                <c:ptCount val="4"/>
                <c:pt idx="0">
                  <c:v>1.1111111111111112E-2</c:v>
                </c:pt>
                <c:pt idx="1">
                  <c:v>1.2641975308641977</c:v>
                </c:pt>
                <c:pt idx="2">
                  <c:v>4.5938271604938272</c:v>
                </c:pt>
                <c:pt idx="3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C833-4F43-AE89-1649907B1D55}"/>
            </c:ext>
          </c:extLst>
        </c:ser>
        <c:ser>
          <c:idx val="2"/>
          <c:order val="8"/>
          <c:tx>
            <c:v>Tulo 10 V mittauspisteet kaikki</c:v>
          </c:tx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tulopuoli'!$AQ$3:$AQ$14</c:f>
              <c:numCache>
                <c:formatCode>General</c:formatCode>
                <c:ptCount val="12"/>
              </c:numCache>
            </c:numRef>
          </c:xVal>
          <c:yVal>
            <c:numRef>
              <c:f>'Laskenta tulopuoli'!$AR$3:$AR$14</c:f>
              <c:numCache>
                <c:formatCode>General</c:formatCode>
                <c:ptCount val="12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668-48BB-A1F6-37E907EDE886}"/>
            </c:ext>
          </c:extLst>
        </c:ser>
        <c:ser>
          <c:idx val="5"/>
          <c:order val="9"/>
          <c:tx>
            <c:v>Mittauspisteet tulo Lw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'Laskenta äänitehotasot'!$C$8:$C$23</c:f>
              <c:numCache>
                <c:formatCode>0.0</c:formatCode>
                <c:ptCount val="16"/>
                <c:pt idx="0">
                  <c:v>151.04411971073372</c:v>
                </c:pt>
                <c:pt idx="1">
                  <c:v>136.93812754583607</c:v>
                </c:pt>
                <c:pt idx="2">
                  <c:v>121.79570529137803</c:v>
                </c:pt>
                <c:pt idx="3">
                  <c:v>103.91330211422635</c:v>
                </c:pt>
                <c:pt idx="4">
                  <c:v>127.75708105116436</c:v>
                </c:pt>
                <c:pt idx="5">
                  <c:v>116.42396786050477</c:v>
                </c:pt>
                <c:pt idx="6">
                  <c:v>103.10986018671835</c:v>
                </c:pt>
                <c:pt idx="7">
                  <c:v>87.336054084249838</c:v>
                </c:pt>
                <c:pt idx="8">
                  <c:v>88.788078943155</c:v>
                </c:pt>
                <c:pt idx="9">
                  <c:v>81.733506658449841</c:v>
                </c:pt>
                <c:pt idx="10">
                  <c:v>73.137106451144177</c:v>
                </c:pt>
                <c:pt idx="11">
                  <c:v>62.463574142312737</c:v>
                </c:pt>
                <c:pt idx="12">
                  <c:v>53.251415455377767</c:v>
                </c:pt>
                <c:pt idx="13">
                  <c:v>49.219569997287564</c:v>
                </c:pt>
                <c:pt idx="14">
                  <c:v>44.451052803998685</c:v>
                </c:pt>
                <c:pt idx="15">
                  <c:v>38.270824043288314</c:v>
                </c:pt>
              </c:numCache>
            </c:numRef>
          </c:xVal>
          <c:yVal>
            <c:numRef>
              <c:f>'Laskenta äänitehotasot'!$D$8:$D$23</c:f>
              <c:numCache>
                <c:formatCode>0.0</c:formatCode>
                <c:ptCount val="16"/>
                <c:pt idx="0">
                  <c:v>105.50215381097108</c:v>
                </c:pt>
                <c:pt idx="1">
                  <c:v>222.12410852266589</c:v>
                </c:pt>
                <c:pt idx="2">
                  <c:v>339.63005262288209</c:v>
                </c:pt>
                <c:pt idx="3">
                  <c:v>469.97003170522618</c:v>
                </c:pt>
                <c:pt idx="4">
                  <c:v>76.789748357043052</c:v>
                </c:pt>
                <c:pt idx="5">
                  <c:v>162.9238946254606</c:v>
                </c:pt>
                <c:pt idx="6">
                  <c:v>250.62899923439232</c:v>
                </c:pt>
                <c:pt idx="7">
                  <c:v>342.02617646707489</c:v>
                </c:pt>
                <c:pt idx="8">
                  <c:v>39.743609124490369</c:v>
                </c:pt>
                <c:pt idx="9">
                  <c:v>84.296604519218192</c:v>
                </c:pt>
                <c:pt idx="10">
                  <c:v>130.66124013171594</c:v>
                </c:pt>
                <c:pt idx="11">
                  <c:v>180.53564477885135</c:v>
                </c:pt>
                <c:pt idx="12">
                  <c:v>14.652642386229754</c:v>
                </c:pt>
                <c:pt idx="13">
                  <c:v>32.244088908008287</c:v>
                </c:pt>
                <c:pt idx="14">
                  <c:v>49.933365723620902</c:v>
                </c:pt>
                <c:pt idx="15">
                  <c:v>69.716154302435584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95E-4AD0-9015-FEC9ED1F8727}"/>
            </c:ext>
          </c:extLst>
        </c:ser>
        <c:ser>
          <c:idx val="6"/>
          <c:order val="10"/>
          <c:tx>
            <c:v>Mittauspisteet ulko Lw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6">
                  <a:lumMod val="20000"/>
                  <a:lumOff val="80000"/>
                </a:schemeClr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'Laskenta äänitehotasot'!$C$32:$C$47</c:f>
              <c:numCache>
                <c:formatCode>0.0</c:formatCode>
                <c:ptCount val="16"/>
                <c:pt idx="0">
                  <c:v>151.40937714925482</c:v>
                </c:pt>
                <c:pt idx="1">
                  <c:v>136.37637263082664</c:v>
                </c:pt>
                <c:pt idx="2">
                  <c:v>121.08623921696152</c:v>
                </c:pt>
                <c:pt idx="3">
                  <c:v>105.31714134721213</c:v>
                </c:pt>
                <c:pt idx="4">
                  <c:v>128.18424851276751</c:v>
                </c:pt>
                <c:pt idx="5">
                  <c:v>116.15075925701436</c:v>
                </c:pt>
                <c:pt idx="6">
                  <c:v>103.262888907129</c:v>
                </c:pt>
                <c:pt idx="7">
                  <c:v>89.53339232914351</c:v>
                </c:pt>
                <c:pt idx="8">
                  <c:v>89.083668744316583</c:v>
                </c:pt>
                <c:pt idx="9">
                  <c:v>81.635487491799807</c:v>
                </c:pt>
                <c:pt idx="10">
                  <c:v>73.240485179787271</c:v>
                </c:pt>
                <c:pt idx="11">
                  <c:v>64.145790177209165</c:v>
                </c:pt>
                <c:pt idx="12">
                  <c:v>53.45618779061126</c:v>
                </c:pt>
                <c:pt idx="13">
                  <c:v>49.393908312321557</c:v>
                </c:pt>
                <c:pt idx="14">
                  <c:v>44.571180207634491</c:v>
                </c:pt>
                <c:pt idx="15">
                  <c:v>39.396985201335021</c:v>
                </c:pt>
              </c:numCache>
            </c:numRef>
          </c:xVal>
          <c:yVal>
            <c:numRef>
              <c:f>'Laskenta äänitehotasot'!$D$32:$D$47</c:f>
              <c:numCache>
                <c:formatCode>0.0</c:formatCode>
                <c:ptCount val="16"/>
                <c:pt idx="0">
                  <c:v>102.37757880274451</c:v>
                </c:pt>
                <c:pt idx="1">
                  <c:v>226.61626561362726</c:v>
                </c:pt>
                <c:pt idx="2">
                  <c:v>344.96426720948057</c:v>
                </c:pt>
                <c:pt idx="3">
                  <c:v>460.03002480329371</c:v>
                </c:pt>
                <c:pt idx="4">
                  <c:v>73.263269036000509</c:v>
                </c:pt>
                <c:pt idx="5">
                  <c:v>164.85021384002255</c:v>
                </c:pt>
                <c:pt idx="6">
                  <c:v>249.68371212846756</c:v>
                </c:pt>
                <c:pt idx="7">
                  <c:v>329.93691983355029</c:v>
                </c:pt>
                <c:pt idx="8">
                  <c:v>37.697502335033079</c:v>
                </c:pt>
                <c:pt idx="9">
                  <c:v>84.867217742327568</c:v>
                </c:pt>
                <c:pt idx="10">
                  <c:v>130.14186941970618</c:v>
                </c:pt>
                <c:pt idx="11">
                  <c:v>173.11183005338415</c:v>
                </c:pt>
                <c:pt idx="12">
                  <c:v>13.667846836916983</c:v>
                </c:pt>
                <c:pt idx="13">
                  <c:v>31.542598956990631</c:v>
                </c:pt>
                <c:pt idx="14">
                  <c:v>49.518175961573718</c:v>
                </c:pt>
                <c:pt idx="15">
                  <c:v>66.314893351683125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095E-4AD0-9015-FEC9ED1F8727}"/>
            </c:ext>
          </c:extLst>
        </c:ser>
        <c:ser>
          <c:idx val="11"/>
          <c:order val="11"/>
          <c:tx>
            <c:v>Mittauspisteet Lw poisto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'Laskenta äänitehotasot'!$C$56:$C$71</c:f>
              <c:numCache>
                <c:formatCode>0.0</c:formatCode>
                <c:ptCount val="16"/>
                <c:pt idx="0">
                  <c:v>151.53899739781966</c:v>
                </c:pt>
                <c:pt idx="1">
                  <c:v>136.16184431868615</c:v>
                </c:pt>
                <c:pt idx="2">
                  <c:v>121.5515071996969</c:v>
                </c:pt>
                <c:pt idx="3">
                  <c:v>107.19044179210324</c:v>
                </c:pt>
                <c:pt idx="4">
                  <c:v>128.23172622554341</c:v>
                </c:pt>
                <c:pt idx="5">
                  <c:v>115.70516598989857</c:v>
                </c:pt>
                <c:pt idx="6">
                  <c:v>103.04804272697268</c:v>
                </c:pt>
                <c:pt idx="7">
                  <c:v>90.601939043825169</c:v>
                </c:pt>
                <c:pt idx="8">
                  <c:v>89.217529226342947</c:v>
                </c:pt>
                <c:pt idx="9">
                  <c:v>81.443814239980952</c:v>
                </c:pt>
                <c:pt idx="10">
                  <c:v>73.3007340072121</c:v>
                </c:pt>
                <c:pt idx="11">
                  <c:v>64.918786925103717</c:v>
                </c:pt>
                <c:pt idx="12">
                  <c:v>53.592262233362575</c:v>
                </c:pt>
                <c:pt idx="13">
                  <c:v>49.310014671561106</c:v>
                </c:pt>
                <c:pt idx="14">
                  <c:v>44.730107878803452</c:v>
                </c:pt>
                <c:pt idx="15">
                  <c:v>39.95787472539687</c:v>
                </c:pt>
              </c:numCache>
            </c:numRef>
          </c:xVal>
          <c:yVal>
            <c:numRef>
              <c:f>'Laskenta äänitehotasot'!$D$56:$D$71</c:f>
              <c:numCache>
                <c:formatCode>0.0</c:formatCode>
                <c:ptCount val="16"/>
                <c:pt idx="0">
                  <c:v>101.26738532564329</c:v>
                </c:pt>
                <c:pt idx="1">
                  <c:v>228.32890237180374</c:v>
                </c:pt>
                <c:pt idx="2">
                  <c:v>341.46771287265176</c:v>
                </c:pt>
                <c:pt idx="3">
                  <c:v>446.69245400699015</c:v>
                </c:pt>
                <c:pt idx="4">
                  <c:v>72.869833747162261</c:v>
                </c:pt>
                <c:pt idx="5">
                  <c:v>167.97899103014714</c:v>
                </c:pt>
                <c:pt idx="6">
                  <c:v>251.01049441707931</c:v>
                </c:pt>
                <c:pt idx="7">
                  <c:v>323.98986158313409</c:v>
                </c:pt>
                <c:pt idx="8">
                  <c:v>36.76518153751671</c:v>
                </c:pt>
                <c:pt idx="9">
                  <c:v>85.979787103026496</c:v>
                </c:pt>
                <c:pt idx="10">
                  <c:v>129.83880942864232</c:v>
                </c:pt>
                <c:pt idx="11">
                  <c:v>169.65126922237661</c:v>
                </c:pt>
                <c:pt idx="12">
                  <c:v>13.007456398852163</c:v>
                </c:pt>
                <c:pt idx="13">
                  <c:v>31.880730001782673</c:v>
                </c:pt>
                <c:pt idx="14">
                  <c:v>48.966776713076023</c:v>
                </c:pt>
                <c:pt idx="15">
                  <c:v>64.590438214061408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95E-4AD0-9015-FEC9ED1F8727}"/>
            </c:ext>
          </c:extLst>
        </c:ser>
        <c:ser>
          <c:idx val="12"/>
          <c:order val="12"/>
          <c:tx>
            <c:v>Mittauspisteet Lw jäte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'Laskenta äänitehotasot'!$C$80:$C$95</c:f>
              <c:numCache>
                <c:formatCode>0.0</c:formatCode>
                <c:ptCount val="16"/>
                <c:pt idx="0">
                  <c:v>151.60670265979553</c:v>
                </c:pt>
                <c:pt idx="1">
                  <c:v>135.79214407635675</c:v>
                </c:pt>
                <c:pt idx="2">
                  <c:v>120.59381151376923</c:v>
                </c:pt>
                <c:pt idx="3">
                  <c:v>104.87640887979911</c:v>
                </c:pt>
                <c:pt idx="4">
                  <c:v>128.34956621877168</c:v>
                </c:pt>
                <c:pt idx="5">
                  <c:v>115.70759611395603</c:v>
                </c:pt>
                <c:pt idx="6">
                  <c:v>102.57331653864257</c:v>
                </c:pt>
                <c:pt idx="7">
                  <c:v>88.81271353629279</c:v>
                </c:pt>
                <c:pt idx="8">
                  <c:v>89.259188354640628</c:v>
                </c:pt>
                <c:pt idx="9">
                  <c:v>81.379404178657765</c:v>
                </c:pt>
                <c:pt idx="10">
                  <c:v>72.922634179548311</c:v>
                </c:pt>
                <c:pt idx="11">
                  <c:v>63.826826560394871</c:v>
                </c:pt>
                <c:pt idx="12">
                  <c:v>53.723936796956735</c:v>
                </c:pt>
                <c:pt idx="13">
                  <c:v>49.281364627372071</c:v>
                </c:pt>
                <c:pt idx="14">
                  <c:v>44.548593162599765</c:v>
                </c:pt>
                <c:pt idx="15">
                  <c:v>39.280098881703758</c:v>
                </c:pt>
              </c:numCache>
            </c:numRef>
          </c:xVal>
          <c:yVal>
            <c:numRef>
              <c:f>'Laskenta äänitehotasot'!$D$80:$D$95</c:f>
              <c:numCache>
                <c:formatCode>0.0</c:formatCode>
                <c:ptCount val="16"/>
                <c:pt idx="0">
                  <c:v>100.6872069126761</c:v>
                </c:pt>
                <c:pt idx="1">
                  <c:v>231.27661330395202</c:v>
                </c:pt>
                <c:pt idx="2">
                  <c:v>348.6582190810559</c:v>
                </c:pt>
                <c:pt idx="3">
                  <c:v>463.1557108612277</c:v>
                </c:pt>
                <c:pt idx="4">
                  <c:v>71.892030420232345</c:v>
                </c:pt>
                <c:pt idx="5">
                  <c:v>167.96197095470208</c:v>
                </c:pt>
                <c:pt idx="6">
                  <c:v>253.93326417263819</c:v>
                </c:pt>
                <c:pt idx="7">
                  <c:v>333.92244854797298</c:v>
                </c:pt>
                <c:pt idx="8">
                  <c:v>36.47429329283343</c:v>
                </c:pt>
                <c:pt idx="9">
                  <c:v>86.352698567555706</c:v>
                </c:pt>
                <c:pt idx="10">
                  <c:v>131.73618119038406</c:v>
                </c:pt>
                <c:pt idx="11">
                  <c:v>174.53058850218136</c:v>
                </c:pt>
                <c:pt idx="12">
                  <c:v>12.363758255969145</c:v>
                </c:pt>
                <c:pt idx="13">
                  <c:v>31.995962218477239</c:v>
                </c:pt>
                <c:pt idx="14">
                  <c:v>49.596346436794803</c:v>
                </c:pt>
                <c:pt idx="15">
                  <c:v>66.67165669524698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095E-4AD0-9015-FEC9ED1F8727}"/>
            </c:ext>
          </c:extLst>
        </c:ser>
        <c:ser>
          <c:idx val="13"/>
          <c:order val="13"/>
          <c:tx>
            <c:v>Mittauspisteet Lw vaipan läpi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'Laskenta äänitehotasot'!$C$104:$C$119</c:f>
              <c:numCache>
                <c:formatCode>0.0</c:formatCode>
                <c:ptCount val="16"/>
                <c:pt idx="0">
                  <c:v>151.40710644070873</c:v>
                </c:pt>
                <c:pt idx="1">
                  <c:v>136.15897781547224</c:v>
                </c:pt>
                <c:pt idx="2">
                  <c:v>120.834575684393</c:v>
                </c:pt>
                <c:pt idx="3">
                  <c:v>104.57530910842264</c:v>
                </c:pt>
                <c:pt idx="4">
                  <c:v>128.18984205427537</c:v>
                </c:pt>
                <c:pt idx="5">
                  <c:v>116.11402945002664</c:v>
                </c:pt>
                <c:pt idx="6">
                  <c:v>103.28353291426566</c:v>
                </c:pt>
                <c:pt idx="7">
                  <c:v>88.895636148672438</c:v>
                </c:pt>
                <c:pt idx="8">
                  <c:v>89.227835208621698</c:v>
                </c:pt>
                <c:pt idx="9">
                  <c:v>81.608050877159414</c:v>
                </c:pt>
                <c:pt idx="10">
                  <c:v>73.439098597861232</c:v>
                </c:pt>
                <c:pt idx="11">
                  <c:v>63.93802624166495</c:v>
                </c:pt>
                <c:pt idx="12">
                  <c:v>53.594521159465579</c:v>
                </c:pt>
                <c:pt idx="13">
                  <c:v>49.436497560803538</c:v>
                </c:pt>
                <c:pt idx="14">
                  <c:v>44.830163645397754</c:v>
                </c:pt>
                <c:pt idx="15">
                  <c:v>39.530396061992946</c:v>
                </c:pt>
              </c:numCache>
            </c:numRef>
          </c:xVal>
          <c:yVal>
            <c:numRef>
              <c:f>'Laskenta äänitehotasot'!$D$104:$D$119</c:f>
              <c:numCache>
                <c:formatCode>0.0</c:formatCode>
                <c:ptCount val="16"/>
                <c:pt idx="0">
                  <c:v>102.39702097196383</c:v>
                </c:pt>
                <c:pt idx="1">
                  <c:v>228.35177572580977</c:v>
                </c:pt>
                <c:pt idx="2">
                  <c:v>346.85298389519301</c:v>
                </c:pt>
                <c:pt idx="3">
                  <c:v>465.2884593741552</c:v>
                </c:pt>
                <c:pt idx="4">
                  <c:v>73.216932358637322</c:v>
                </c:pt>
                <c:pt idx="5">
                  <c:v>165.10872217935631</c:v>
                </c:pt>
                <c:pt idx="6">
                  <c:v>249.55609206322799</c:v>
                </c:pt>
                <c:pt idx="7">
                  <c:v>333.46489734949779</c:v>
                </c:pt>
                <c:pt idx="8">
                  <c:v>36.693251922196168</c:v>
                </c:pt>
                <c:pt idx="9">
                  <c:v>85.026736609306951</c:v>
                </c:pt>
                <c:pt idx="10">
                  <c:v>129.14177390425556</c:v>
                </c:pt>
                <c:pt idx="11">
                  <c:v>174.03657136282132</c:v>
                </c:pt>
                <c:pt idx="12">
                  <c:v>12.996452456623569</c:v>
                </c:pt>
                <c:pt idx="13">
                  <c:v>31.370539170867435</c:v>
                </c:pt>
                <c:pt idx="14">
                  <c:v>48.61838981289818</c:v>
                </c:pt>
                <c:pt idx="15">
                  <c:v>65.90660607894749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5F9-43EE-80AA-D9D76D26A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6172112"/>
        <c:axId val="1886172528"/>
      </c:scatterChart>
      <c:valAx>
        <c:axId val="188617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86172528"/>
        <c:crosses val="autoZero"/>
        <c:crossBetween val="midCat"/>
      </c:valAx>
      <c:valAx>
        <c:axId val="1886172528"/>
        <c:scaling>
          <c:orientation val="minMax"/>
          <c:max val="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Paine-ero  P</a:t>
                </a:r>
                <a:r>
                  <a:rPr lang="fi-FI" baseline="-25000"/>
                  <a:t>fD</a:t>
                </a:r>
                <a:r>
                  <a:rPr lang="fi-FI"/>
                  <a:t> [Pa]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86172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050"/>
              <a:t>Ohjausjännitteet ja tilavuusvirrat mitoituspisteen</a:t>
            </a:r>
            <a:r>
              <a:rPr lang="fi-FI" sz="1050" baseline="0"/>
              <a:t> verkkokäyrällä</a:t>
            </a:r>
            <a:endParaRPr lang="fi-FI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tulopuoli'!$I$67:$I$71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</c:numCache>
            </c:numRef>
          </c:xVal>
          <c:yVal>
            <c:numRef>
              <c:f>'Laskenta tulopuoli'!$J$67:$J$71</c:f>
              <c:numCache>
                <c:formatCode>0.00</c:formatCode>
                <c:ptCount val="5"/>
                <c:pt idx="0" formatCode="General">
                  <c:v>139.82439147360191</c:v>
                </c:pt>
                <c:pt idx="1">
                  <c:v>123.49583115646229</c:v>
                </c:pt>
                <c:pt idx="2">
                  <c:v>86.508692556320128</c:v>
                </c:pt>
                <c:pt idx="3">
                  <c:v>52.069137848972048</c:v>
                </c:pt>
                <c:pt idx="4">
                  <c:v>19.084095863382036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D0-4BD6-A60F-7827F835B6A3}"/>
            </c:ext>
          </c:extLst>
        </c:ser>
        <c:ser>
          <c:idx val="1"/>
          <c:order val="1"/>
          <c:tx>
            <c:strRef>
              <c:f>'Laskenta tulopuoli'!$I$63</c:f>
              <c:strCache>
                <c:ptCount val="1"/>
                <c:pt idx="0">
                  <c:v>0–9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545756780402449"/>
                  <c:y val="7.02777777777777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tulopuoli'!$I$67:$I$71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</c:numCache>
            </c:numRef>
          </c:xVal>
          <c:yVal>
            <c:numRef>
              <c:f>'Laskenta tulopuoli'!$J$67:$J$71</c:f>
              <c:numCache>
                <c:formatCode>0.00</c:formatCode>
                <c:ptCount val="5"/>
                <c:pt idx="0" formatCode="General">
                  <c:v>139.82439147360191</c:v>
                </c:pt>
                <c:pt idx="1">
                  <c:v>123.49583115646229</c:v>
                </c:pt>
                <c:pt idx="2">
                  <c:v>86.508692556320128</c:v>
                </c:pt>
                <c:pt idx="3">
                  <c:v>52.069137848972048</c:v>
                </c:pt>
                <c:pt idx="4">
                  <c:v>19.084095863382036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5D0-4BD6-A60F-7827F835B6A3}"/>
            </c:ext>
          </c:extLst>
        </c:ser>
        <c:ser>
          <c:idx val="2"/>
          <c:order val="2"/>
          <c:tx>
            <c:strRef>
              <c:f>'Laskenta tulopuoli'!$I$64</c:f>
              <c:strCache>
                <c:ptCount val="1"/>
                <c:pt idx="0">
                  <c:v>9–10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3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7340769903762027E-2"/>
                  <c:y val="-5.881525226013414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tulopuoli'!$I$66:$I$67</c:f>
              <c:numCache>
                <c:formatCode>General</c:formatCode>
                <c:ptCount val="2"/>
                <c:pt idx="0">
                  <c:v>10</c:v>
                </c:pt>
                <c:pt idx="1">
                  <c:v>9</c:v>
                </c:pt>
              </c:numCache>
            </c:numRef>
          </c:xVal>
          <c:yVal>
            <c:numRef>
              <c:f>'Laskenta tulopuoli'!$J$66:$J$67</c:f>
              <c:numCache>
                <c:formatCode>General</c:formatCode>
                <c:ptCount val="2"/>
                <c:pt idx="0" formatCode="0.00">
                  <c:v>145.65364378431303</c:v>
                </c:pt>
                <c:pt idx="1">
                  <c:v>139.82439147360191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5D0-4BD6-A60F-7827F835B6A3}"/>
            </c:ext>
          </c:extLst>
        </c:ser>
        <c:ser>
          <c:idx val="3"/>
          <c:order val="3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tulopuoli'!$N$64</c:f>
              <c:numCache>
                <c:formatCode>0.00" V"</c:formatCode>
                <c:ptCount val="1"/>
                <c:pt idx="0">
                  <c:v>5.7887003716107381</c:v>
                </c:pt>
              </c:numCache>
            </c:numRef>
          </c:xVal>
          <c:yVal>
            <c:numRef>
              <c:f>'Laskenta tulopuoli'!$I$24</c:f>
              <c:numCache>
                <c:formatCode>General</c:formatCode>
                <c:ptCount val="1"/>
                <c:pt idx="0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5D0-4BD6-A60F-7827F835B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0552032"/>
        <c:axId val="1600553280"/>
      </c:scatterChart>
      <c:valAx>
        <c:axId val="1600552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Ohjausjännite [V]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600553280"/>
        <c:crosses val="autoZero"/>
        <c:crossBetween val="midCat"/>
      </c:valAx>
      <c:valAx>
        <c:axId val="160055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</a:t>
                </a:r>
                <a:r>
                  <a:rPr lang="fi-FI" baseline="0"/>
                  <a:t> [dm³/s]</a:t>
                </a:r>
                <a:endParaRPr lang="fi-FI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600552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100"/>
              <a:t>Mitatut sähkötehot, tulopuhallin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'Laskenta tulopuoli'!$I$95</c:f>
              <c:strCache>
                <c:ptCount val="1"/>
                <c:pt idx="0">
                  <c:v>10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forward val="50"/>
            <c:backward val="50"/>
            <c:dispRSqr val="1"/>
            <c:dispEq val="1"/>
            <c:trendlineLbl>
              <c:layout>
                <c:manualLayout>
                  <c:x val="0.1372664947054032"/>
                  <c:y val="-0.2042133320291485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tulopuoli'!$C$10:$C$23</c:f>
              <c:numCache>
                <c:formatCode>0.0</c:formatCode>
                <c:ptCount val="14"/>
                <c:pt idx="0">
                  <c:v>12.589534520464724</c:v>
                </c:pt>
                <c:pt idx="1">
                  <c:v>99.159868274249121</c:v>
                </c:pt>
                <c:pt idx="2">
                  <c:v>67.716329534955548</c:v>
                </c:pt>
                <c:pt idx="3">
                  <c:v>140.80974399640741</c:v>
                </c:pt>
                <c:pt idx="4">
                  <c:v>207.89134665849471</c:v>
                </c:pt>
                <c:pt idx="5">
                  <c:v>253.65100784405911</c:v>
                </c:pt>
                <c:pt idx="6">
                  <c:v>299.92703884858435</c:v>
                </c:pt>
                <c:pt idx="7">
                  <c:v>360.26176392699188</c:v>
                </c:pt>
                <c:pt idx="8">
                  <c:v>405.86837446374608</c:v>
                </c:pt>
                <c:pt idx="9">
                  <c:v>454.5735273857473</c:v>
                </c:pt>
                <c:pt idx="10">
                  <c:v>504.35556757523682</c:v>
                </c:pt>
                <c:pt idx="11">
                  <c:v>562.92278160043543</c:v>
                </c:pt>
                <c:pt idx="12">
                  <c:v>625.82556842687518</c:v>
                </c:pt>
                <c:pt idx="13">
                  <c:v>709.05783312479764</c:v>
                </c:pt>
              </c:numCache>
            </c:numRef>
          </c:xVal>
          <c:yVal>
            <c:numRef>
              <c:f>'Laskenta tulopuoli'!$F$10:$F$23</c:f>
              <c:numCache>
                <c:formatCode>0.0</c:formatCode>
                <c:ptCount val="14"/>
                <c:pt idx="0">
                  <c:v>174.01528870295996</c:v>
                </c:pt>
                <c:pt idx="1">
                  <c:v>172.68926436245374</c:v>
                </c:pt>
                <c:pt idx="2">
                  <c:v>172.94994912354252</c:v>
                </c:pt>
                <c:pt idx="3">
                  <c:v>172.54101002023862</c:v>
                </c:pt>
                <c:pt idx="4">
                  <c:v>172.95872644638635</c:v>
                </c:pt>
                <c:pt idx="5">
                  <c:v>172.95259325810176</c:v>
                </c:pt>
                <c:pt idx="6">
                  <c:v>172.50800665730986</c:v>
                </c:pt>
                <c:pt idx="7">
                  <c:v>172.5771061571952</c:v>
                </c:pt>
                <c:pt idx="8">
                  <c:v>172.66443001115903</c:v>
                </c:pt>
                <c:pt idx="9">
                  <c:v>172.74643799606943</c:v>
                </c:pt>
                <c:pt idx="10">
                  <c:v>172.33848602060101</c:v>
                </c:pt>
                <c:pt idx="11">
                  <c:v>174.37906604869718</c:v>
                </c:pt>
                <c:pt idx="12">
                  <c:v>174.67794633609614</c:v>
                </c:pt>
                <c:pt idx="13">
                  <c:v>173.70985910305586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81C-42EC-BA62-4959F66C0D1C}"/>
            </c:ext>
          </c:extLst>
        </c:ser>
        <c:ser>
          <c:idx val="1"/>
          <c:order val="1"/>
          <c:tx>
            <c:strRef>
              <c:f>'Laskenta tulopuoli'!$I$96</c:f>
              <c:strCache>
                <c:ptCount val="1"/>
                <c:pt idx="0">
                  <c:v>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forward val="50"/>
            <c:dispRSqr val="1"/>
            <c:dispEq val="1"/>
            <c:trendlineLbl>
              <c:layout>
                <c:manualLayout>
                  <c:x val="0.18546645891878355"/>
                  <c:y val="6.04262509567736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tulopuoli'!$C$31:$C$40</c:f>
              <c:numCache>
                <c:formatCode>0.0</c:formatCode>
                <c:ptCount val="10"/>
                <c:pt idx="0">
                  <c:v>7.2985681448644435</c:v>
                </c:pt>
                <c:pt idx="1">
                  <c:v>53.107094687432777</c:v>
                </c:pt>
                <c:pt idx="2">
                  <c:v>101.59284167509514</c:v>
                </c:pt>
                <c:pt idx="3">
                  <c:v>159.37364036595989</c:v>
                </c:pt>
                <c:pt idx="4">
                  <c:v>202.99882998569197</c:v>
                </c:pt>
                <c:pt idx="5">
                  <c:v>257.07550327220724</c:v>
                </c:pt>
                <c:pt idx="6">
                  <c:v>303.9910980658093</c:v>
                </c:pt>
                <c:pt idx="7">
                  <c:v>353.7429333182489</c:v>
                </c:pt>
                <c:pt idx="8">
                  <c:v>404.94191987134639</c:v>
                </c:pt>
                <c:pt idx="9">
                  <c:v>455.11407183442213</c:v>
                </c:pt>
              </c:numCache>
            </c:numRef>
          </c:xVal>
          <c:yVal>
            <c:numRef>
              <c:f>'Laskenta tulopuoli'!$F$31:$F$40</c:f>
              <c:numCache>
                <c:formatCode>0.0</c:formatCode>
                <c:ptCount val="10"/>
                <c:pt idx="0">
                  <c:v>113.35649320897519</c:v>
                </c:pt>
                <c:pt idx="1">
                  <c:v>114.32365137009984</c:v>
                </c:pt>
                <c:pt idx="2">
                  <c:v>115.78161815643756</c:v>
                </c:pt>
                <c:pt idx="3">
                  <c:v>115.76993669922744</c:v>
                </c:pt>
                <c:pt idx="4">
                  <c:v>116.03950771216054</c:v>
                </c:pt>
                <c:pt idx="5">
                  <c:v>115.57959892741549</c:v>
                </c:pt>
                <c:pt idx="6">
                  <c:v>114.35788135249535</c:v>
                </c:pt>
                <c:pt idx="7">
                  <c:v>112.64051856311286</c:v>
                </c:pt>
                <c:pt idx="8">
                  <c:v>110.20013328719729</c:v>
                </c:pt>
                <c:pt idx="9">
                  <c:v>106.87813735999441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81C-42EC-BA62-4959F66C0D1C}"/>
            </c:ext>
          </c:extLst>
        </c:ser>
        <c:ser>
          <c:idx val="2"/>
          <c:order val="2"/>
          <c:tx>
            <c:strRef>
              <c:f>'Laskenta tulopuoli'!$I$97</c:f>
              <c:strCache>
                <c:ptCount val="1"/>
                <c:pt idx="0">
                  <c:v>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forward val="50"/>
            <c:dispRSqr val="1"/>
            <c:dispEq val="1"/>
            <c:trendlineLbl>
              <c:layout>
                <c:manualLayout>
                  <c:x val="0.12028462944251272"/>
                  <c:y val="-9.480019079875709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tulopuoli'!$C$46:$C$52</c:f>
              <c:numCache>
                <c:formatCode>0.0</c:formatCode>
                <c:ptCount val="7"/>
                <c:pt idx="0">
                  <c:v>6.4708807726482505</c:v>
                </c:pt>
                <c:pt idx="1">
                  <c:v>43.93070551801982</c:v>
                </c:pt>
                <c:pt idx="2">
                  <c:v>85.066537725925457</c:v>
                </c:pt>
                <c:pt idx="3">
                  <c:v>123.21640741464911</c:v>
                </c:pt>
                <c:pt idx="4">
                  <c:v>161.72636700877374</c:v>
                </c:pt>
                <c:pt idx="5">
                  <c:v>204.33532835373816</c:v>
                </c:pt>
                <c:pt idx="6">
                  <c:v>243.10866761542945</c:v>
                </c:pt>
              </c:numCache>
            </c:numRef>
          </c:xVal>
          <c:yVal>
            <c:numRef>
              <c:f>'Laskenta tulopuoli'!$F$46:$F$52</c:f>
              <c:numCache>
                <c:formatCode>0.0</c:formatCode>
                <c:ptCount val="7"/>
                <c:pt idx="0">
                  <c:v>52.4286773762839</c:v>
                </c:pt>
                <c:pt idx="1">
                  <c:v>52.087214056919521</c:v>
                </c:pt>
                <c:pt idx="2">
                  <c:v>53.47975030351266</c:v>
                </c:pt>
                <c:pt idx="3">
                  <c:v>52.862003425220657</c:v>
                </c:pt>
                <c:pt idx="4">
                  <c:v>52.463540427751049</c:v>
                </c:pt>
                <c:pt idx="5">
                  <c:v>50.899275598473679</c:v>
                </c:pt>
                <c:pt idx="6">
                  <c:v>49.474463196900359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81C-42EC-BA62-4959F66C0D1C}"/>
            </c:ext>
          </c:extLst>
        </c:ser>
        <c:ser>
          <c:idx val="3"/>
          <c:order val="3"/>
          <c:tx>
            <c:strRef>
              <c:f>'Laskenta tulopuoli'!$I$98</c:f>
              <c:strCache>
                <c:ptCount val="1"/>
                <c:pt idx="0">
                  <c:v>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forward val="10"/>
            <c:dispRSqr val="1"/>
            <c:dispEq val="1"/>
            <c:trendlineLbl>
              <c:layout>
                <c:manualLayout>
                  <c:x val="4.920123721283956E-2"/>
                  <c:y val="-9.04775525662723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tulopuoli'!$C$59:$C$63</c:f>
              <c:numCache>
                <c:formatCode>0.0</c:formatCode>
                <c:ptCount val="5"/>
                <c:pt idx="0" formatCode="0.00">
                  <c:v>5.9898461236503273</c:v>
                </c:pt>
                <c:pt idx="1">
                  <c:v>36.889513774098411</c:v>
                </c:pt>
                <c:pt idx="2">
                  <c:v>73.06512020700913</c:v>
                </c:pt>
                <c:pt idx="3">
                  <c:v>107.55172128369327</c:v>
                </c:pt>
                <c:pt idx="4">
                  <c:v>130.92468129795037</c:v>
                </c:pt>
              </c:numCache>
            </c:numRef>
          </c:xVal>
          <c:yVal>
            <c:numRef>
              <c:f>'Laskenta tulopuoli'!$F$59:$F$63</c:f>
              <c:numCache>
                <c:formatCode>0.0</c:formatCode>
                <c:ptCount val="5"/>
                <c:pt idx="0">
                  <c:v>20.70122128758614</c:v>
                </c:pt>
                <c:pt idx="1">
                  <c:v>19.993296458908084</c:v>
                </c:pt>
                <c:pt idx="2">
                  <c:v>18.748468612989299</c:v>
                </c:pt>
                <c:pt idx="3">
                  <c:v>18.724316252120687</c:v>
                </c:pt>
                <c:pt idx="4">
                  <c:v>16.761140109692256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81C-42EC-BA62-4959F66C0D1C}"/>
            </c:ext>
          </c:extLst>
        </c:ser>
        <c:ser>
          <c:idx val="5"/>
          <c:order val="4"/>
          <c:tx>
            <c:v>Mitoistuspisteen tehot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'Laskenta tulopuoli'!$M$95:$M$99</c:f>
              <c:numCache>
                <c:formatCode>0.0</c:formatCode>
                <c:ptCount val="5"/>
                <c:pt idx="0">
                  <c:v>150.33293613695827</c:v>
                </c:pt>
                <c:pt idx="1">
                  <c:v>108.07270629978346</c:v>
                </c:pt>
                <c:pt idx="2">
                  <c:v>53.031135826274927</c:v>
                </c:pt>
                <c:pt idx="3">
                  <c:v>19.211983534121693</c:v>
                </c:pt>
                <c:pt idx="4">
                  <c:v>2.5808015513233795</c:v>
                </c:pt>
              </c:numCache>
            </c:numRef>
          </c:xVal>
          <c:yVal>
            <c:numRef>
              <c:f>'Laskenta tulopuoli'!$N$95:$N$99</c:f>
              <c:numCache>
                <c:formatCode>0.00</c:formatCode>
                <c:ptCount val="5"/>
                <c:pt idx="0">
                  <c:v>172.73618504078374</c:v>
                </c:pt>
                <c:pt idx="1">
                  <c:v>115.73500105908492</c:v>
                </c:pt>
                <c:pt idx="2">
                  <c:v>52.913590355513101</c:v>
                </c:pt>
                <c:pt idx="3">
                  <c:v>20.394872105120971</c:v>
                </c:pt>
                <c:pt idx="4">
                  <c:v>6.5676182391743829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681C-42EC-BA62-4959F66C0D1C}"/>
            </c:ext>
          </c:extLst>
        </c:ser>
        <c:ser>
          <c:idx val="6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'Laskenta tulopuoli'!$I$25</c:f>
              <c:numCache>
                <c:formatCode>General</c:formatCode>
                <c:ptCount val="1"/>
                <c:pt idx="0">
                  <c:v>50</c:v>
                </c:pt>
              </c:numCache>
            </c:numRef>
          </c:xVal>
          <c:yVal>
            <c:numRef>
              <c:f>'Laskenta tulopuoli'!$J$116</c:f>
              <c:numCache>
                <c:formatCode>0.0</c:formatCode>
                <c:ptCount val="1"/>
                <c:pt idx="0">
                  <c:v>49.722015378100927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681C-42EC-BA62-4959F66C0D1C}"/>
            </c:ext>
          </c:extLst>
        </c:ser>
        <c:ser>
          <c:idx val="7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'Laskenta tulopuoli'!$C$10:$C$22</c:f>
              <c:numCache>
                <c:formatCode>0.0</c:formatCode>
                <c:ptCount val="13"/>
                <c:pt idx="0">
                  <c:v>12.589534520464724</c:v>
                </c:pt>
                <c:pt idx="1">
                  <c:v>99.159868274249121</c:v>
                </c:pt>
                <c:pt idx="2">
                  <c:v>67.716329534955548</c:v>
                </c:pt>
                <c:pt idx="3">
                  <c:v>140.80974399640741</c:v>
                </c:pt>
                <c:pt idx="4">
                  <c:v>207.89134665849471</c:v>
                </c:pt>
                <c:pt idx="5">
                  <c:v>253.65100784405911</c:v>
                </c:pt>
                <c:pt idx="6">
                  <c:v>299.92703884858435</c:v>
                </c:pt>
                <c:pt idx="7">
                  <c:v>360.26176392699188</c:v>
                </c:pt>
                <c:pt idx="8">
                  <c:v>405.86837446374608</c:v>
                </c:pt>
                <c:pt idx="9">
                  <c:v>454.5735273857473</c:v>
                </c:pt>
                <c:pt idx="10">
                  <c:v>504.35556757523682</c:v>
                </c:pt>
                <c:pt idx="11">
                  <c:v>562.92278160043543</c:v>
                </c:pt>
                <c:pt idx="12">
                  <c:v>625.82556842687518</c:v>
                </c:pt>
              </c:numCache>
            </c:numRef>
          </c:xVal>
          <c:yVal>
            <c:numRef>
              <c:f>'Laskenta tulopuoli'!$F$10:$F$22</c:f>
              <c:numCache>
                <c:formatCode>0.0</c:formatCode>
                <c:ptCount val="13"/>
                <c:pt idx="0">
                  <c:v>174.01528870295996</c:v>
                </c:pt>
                <c:pt idx="1">
                  <c:v>172.68926436245374</c:v>
                </c:pt>
                <c:pt idx="2">
                  <c:v>172.94994912354252</c:v>
                </c:pt>
                <c:pt idx="3">
                  <c:v>172.54101002023862</c:v>
                </c:pt>
                <c:pt idx="4">
                  <c:v>172.95872644638635</c:v>
                </c:pt>
                <c:pt idx="5">
                  <c:v>172.95259325810176</c:v>
                </c:pt>
                <c:pt idx="6">
                  <c:v>172.50800665730986</c:v>
                </c:pt>
                <c:pt idx="7">
                  <c:v>172.5771061571952</c:v>
                </c:pt>
                <c:pt idx="8">
                  <c:v>172.66443001115903</c:v>
                </c:pt>
                <c:pt idx="9">
                  <c:v>172.74643799606943</c:v>
                </c:pt>
                <c:pt idx="10">
                  <c:v>172.33848602060101</c:v>
                </c:pt>
                <c:pt idx="11">
                  <c:v>174.37906604869718</c:v>
                </c:pt>
                <c:pt idx="12">
                  <c:v>174.67794633609614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681C-42EC-BA62-4959F66C0D1C}"/>
            </c:ext>
          </c:extLst>
        </c:ser>
        <c:ser>
          <c:idx val="8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trendline>
            <c:spPr>
              <a:ln w="12700" cap="rnd">
                <a:solidFill>
                  <a:schemeClr val="tx2"/>
                </a:solidFill>
                <a:prstDash val="sysDash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36287051656564995"/>
                  <c:y val="-0.10539489522090986"/>
                </c:manualLayout>
              </c:layout>
              <c:numFmt formatCode="General" sourceLinked="0"/>
              <c:spPr>
                <a:noFill/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tulopuoli'!$M$96:$M$98</c:f>
              <c:numCache>
                <c:formatCode>0.0</c:formatCode>
                <c:ptCount val="3"/>
                <c:pt idx="0">
                  <c:v>108.07270629978346</c:v>
                </c:pt>
                <c:pt idx="1">
                  <c:v>53.031135826274927</c:v>
                </c:pt>
                <c:pt idx="2">
                  <c:v>19.211983534121693</c:v>
                </c:pt>
              </c:numCache>
            </c:numRef>
          </c:xVal>
          <c:yVal>
            <c:numRef>
              <c:f>'Laskenta tulopuoli'!$N$96:$N$98</c:f>
              <c:numCache>
                <c:formatCode>0.00</c:formatCode>
                <c:ptCount val="3"/>
                <c:pt idx="0">
                  <c:v>115.73500105908492</c:v>
                </c:pt>
                <c:pt idx="1">
                  <c:v>52.913590355513101</c:v>
                </c:pt>
                <c:pt idx="2">
                  <c:v>20.394872105120971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782-4C84-B815-0111DE30517D}"/>
            </c:ext>
          </c:extLst>
        </c:ser>
        <c:ser>
          <c:idx val="9"/>
          <c:order val="8"/>
          <c:tx>
            <c:v>8-10V mitoitusVK</c:v>
          </c:tx>
          <c:spPr>
            <a:ln w="127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xVal>
            <c:numRef>
              <c:f>'Laskenta tulopuoli'!$M$95:$M$96</c:f>
              <c:numCache>
                <c:formatCode>0.0</c:formatCode>
                <c:ptCount val="2"/>
                <c:pt idx="0">
                  <c:v>150.33293613695827</c:v>
                </c:pt>
                <c:pt idx="1">
                  <c:v>108.07270629978346</c:v>
                </c:pt>
              </c:numCache>
            </c:numRef>
          </c:xVal>
          <c:yVal>
            <c:numRef>
              <c:f>'Laskenta tulopuoli'!$N$95:$N$96</c:f>
              <c:numCache>
                <c:formatCode>0.00</c:formatCode>
                <c:ptCount val="2"/>
                <c:pt idx="0">
                  <c:v>172.73618504078374</c:v>
                </c:pt>
                <c:pt idx="1">
                  <c:v>115.73500105908492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7782-4C84-B815-0111DE30517D}"/>
            </c:ext>
          </c:extLst>
        </c:ser>
        <c:ser>
          <c:idx val="4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'Laskenta tulopuoli'!$C$68:$C$70</c:f>
              <c:numCache>
                <c:formatCode>0.0</c:formatCode>
                <c:ptCount val="3"/>
                <c:pt idx="0" formatCode="0.00">
                  <c:v>26.302502153194688</c:v>
                </c:pt>
                <c:pt idx="1">
                  <c:v>15.304166584055867</c:v>
                </c:pt>
                <c:pt idx="2">
                  <c:v>2.6510147011734388</c:v>
                </c:pt>
              </c:numCache>
            </c:numRef>
          </c:xVal>
          <c:yVal>
            <c:numRef>
              <c:f>'Laskenta tulopuoli'!$F$68:$F$70</c:f>
              <c:numCache>
                <c:formatCode>0.0</c:formatCode>
                <c:ptCount val="3"/>
                <c:pt idx="0">
                  <c:v>6.2577686062565183</c:v>
                </c:pt>
                <c:pt idx="1">
                  <c:v>6.8081242220909379</c:v>
                </c:pt>
                <c:pt idx="2">
                  <c:v>6.571527474065868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980-46B5-A1AC-A81C2785A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38512"/>
        <c:axId val="91433520"/>
      </c:scatterChart>
      <c:valAx>
        <c:axId val="91438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Paine-ero PfD [Pa]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91433520"/>
        <c:crosses val="autoZero"/>
        <c:crossBetween val="midCat"/>
      </c:valAx>
      <c:valAx>
        <c:axId val="9143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Sähköteho [W]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91438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Teho vs. ohjausjännite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>
        <c:manualLayout>
          <c:layoutTarget val="inner"/>
          <c:xMode val="edge"/>
          <c:yMode val="edge"/>
          <c:x val="0.14869203849518808"/>
          <c:y val="0.13930555555555557"/>
          <c:w val="0.81997462817147859"/>
          <c:h val="0.63755431612715063"/>
        </c:manualLayout>
      </c:layout>
      <c:scatterChart>
        <c:scatterStyle val="lineMarker"/>
        <c:varyColors val="0"/>
        <c:ser>
          <c:idx val="0"/>
          <c:order val="0"/>
          <c:tx>
            <c:strRef>
              <c:f>'Laskenta tulopuoli'!$I$105</c:f>
              <c:strCache>
                <c:ptCount val="1"/>
                <c:pt idx="0">
                  <c:v>0–8 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3"/>
            <c:forward val="2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tulopuoli'!$I$96:$I$98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4</c:v>
                </c:pt>
              </c:numCache>
            </c:numRef>
          </c:xVal>
          <c:yVal>
            <c:numRef>
              <c:f>'Laskenta tulopuoli'!$N$96:$N$98</c:f>
              <c:numCache>
                <c:formatCode>0.00</c:formatCode>
                <c:ptCount val="3"/>
                <c:pt idx="0">
                  <c:v>115.73500105908492</c:v>
                </c:pt>
                <c:pt idx="1">
                  <c:v>52.913590355513101</c:v>
                </c:pt>
                <c:pt idx="2">
                  <c:v>20.394872105120971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E6-413F-87FC-359F1894AD90}"/>
            </c:ext>
          </c:extLst>
        </c:ser>
        <c:ser>
          <c:idx val="1"/>
          <c:order val="1"/>
          <c:tx>
            <c:strRef>
              <c:f>'Laskenta tulopuoli'!$I$106</c:f>
              <c:strCache>
                <c:ptCount val="1"/>
                <c:pt idx="0">
                  <c:v>8–10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'Laskenta tulopuoli'!$I$95:$I$96</c:f>
              <c:numCache>
                <c:formatCode>General</c:formatCode>
                <c:ptCount val="2"/>
                <c:pt idx="0">
                  <c:v>10</c:v>
                </c:pt>
                <c:pt idx="1">
                  <c:v>8</c:v>
                </c:pt>
              </c:numCache>
            </c:numRef>
          </c:xVal>
          <c:yVal>
            <c:numRef>
              <c:f>'Laskenta tulopuoli'!$N$95:$N$96</c:f>
              <c:numCache>
                <c:formatCode>0.00</c:formatCode>
                <c:ptCount val="2"/>
                <c:pt idx="0">
                  <c:v>172.73618504078374</c:v>
                </c:pt>
                <c:pt idx="1">
                  <c:v>115.73500105908492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0E6-413F-87FC-359F1894AD90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tulopuoli'!$N$64</c:f>
              <c:numCache>
                <c:formatCode>0.00" V"</c:formatCode>
                <c:ptCount val="1"/>
                <c:pt idx="0">
                  <c:v>5.7887003716107381</c:v>
                </c:pt>
              </c:numCache>
            </c:numRef>
          </c:xVal>
          <c:yVal>
            <c:numRef>
              <c:f>'Laskenta tulopuoli'!$J$116</c:f>
              <c:numCache>
                <c:formatCode>0.0</c:formatCode>
                <c:ptCount val="1"/>
                <c:pt idx="0">
                  <c:v>49.722015378100927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0E6-413F-87FC-359F1894A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05440"/>
        <c:axId val="101688384"/>
      </c:scatterChart>
      <c:valAx>
        <c:axId val="10170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Ohjausjännite [V]</a:t>
                </a:r>
              </a:p>
            </c:rich>
          </c:tx>
          <c:layout>
            <c:manualLayout>
              <c:xMode val="edge"/>
              <c:yMode val="edge"/>
              <c:x val="0.45506124234470685"/>
              <c:y val="0.827785797608632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1688384"/>
        <c:crosses val="autoZero"/>
        <c:crossBetween val="midCat"/>
      </c:valAx>
      <c:valAx>
        <c:axId val="101688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Teho [W]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1705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Painehäviön erotus 2.5 vs 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8687840500068404"/>
                  <c:y val="-4.2432914303672172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tulopuoli'!$B$80:$B$84</c:f>
              <c:numCache>
                <c:formatCode>General</c:formatCode>
                <c:ptCount val="5"/>
                <c:pt idx="0">
                  <c:v>40</c:v>
                </c:pt>
                <c:pt idx="1">
                  <c:v>160</c:v>
                </c:pt>
                <c:pt idx="2">
                  <c:v>240</c:v>
                </c:pt>
                <c:pt idx="3">
                  <c:v>300</c:v>
                </c:pt>
                <c:pt idx="4">
                  <c:v>350</c:v>
                </c:pt>
              </c:numCache>
            </c:numRef>
          </c:xVal>
          <c:yVal>
            <c:numRef>
              <c:f>'Laskenta tulopuoli'!$E$80:$E$84</c:f>
              <c:numCache>
                <c:formatCode>0.0</c:formatCode>
                <c:ptCount val="5"/>
                <c:pt idx="0">
                  <c:v>0</c:v>
                </c:pt>
                <c:pt idx="1">
                  <c:v>3.7999999999999972</c:v>
                </c:pt>
                <c:pt idx="2">
                  <c:v>14.299999999999997</c:v>
                </c:pt>
                <c:pt idx="3">
                  <c:v>13</c:v>
                </c:pt>
                <c:pt idx="4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10-475E-A6E2-7E5264037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3628031"/>
        <c:axId val="813621791"/>
      </c:scatterChart>
      <c:valAx>
        <c:axId val="8136280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13621791"/>
        <c:crosses val="autoZero"/>
        <c:crossBetween val="midCat"/>
      </c:valAx>
      <c:valAx>
        <c:axId val="81362179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136280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Poistopuoli</a:t>
            </a:r>
            <a:br>
              <a:rPr lang="fi-FI"/>
            </a:br>
            <a:r>
              <a:rPr lang="fi-FI" sz="1000"/>
              <a:t>Mittaustulokset ja sovitteet</a:t>
            </a:r>
            <a:endParaRPr lang="fi-FI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'Laskenta poistopuoli'!$B$8</c:f>
              <c:strCache>
                <c:ptCount val="1"/>
                <c:pt idx="0">
                  <c:v>Poisto 10 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forward val="10"/>
            <c:dispRSqr val="1"/>
            <c:dispEq val="1"/>
            <c:trendlineLbl>
              <c:layout>
                <c:manualLayout>
                  <c:x val="-0.59172858875754819"/>
                  <c:y val="-0.56445697595059852"/>
                </c:manualLayout>
              </c:layout>
              <c:numFmt formatCode="General" sourceLinked="0"/>
              <c:spPr>
                <a:solidFill>
                  <a:schemeClr val="accent1">
                    <a:lumMod val="20000"/>
                    <a:lumOff val="80000"/>
                  </a:schemeClr>
                </a:solidFill>
                <a:ln>
                  <a:solidFill>
                    <a:schemeClr val="tx2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poistopuoli'!$B$10:$B$25</c:f>
              <c:numCache>
                <c:formatCode>0.00</c:formatCode>
                <c:ptCount val="16"/>
                <c:pt idx="0">
                  <c:v>165.48060923474731</c:v>
                </c:pt>
                <c:pt idx="1">
                  <c:v>161.46427556101696</c:v>
                </c:pt>
                <c:pt idx="2">
                  <c:v>155.43355513090376</c:v>
                </c:pt>
                <c:pt idx="3">
                  <c:v>151.29243225400154</c:v>
                </c:pt>
                <c:pt idx="4">
                  <c:v>146.54204286066661</c:v>
                </c:pt>
                <c:pt idx="5">
                  <c:v>141.05700793924174</c:v>
                </c:pt>
                <c:pt idx="6">
                  <c:v>135.2373441159836</c:v>
                </c:pt>
                <c:pt idx="7">
                  <c:v>124.36313379219968</c:v>
                </c:pt>
                <c:pt idx="8">
                  <c:v>118.89862849939811</c:v>
                </c:pt>
                <c:pt idx="9">
                  <c:v>112.79325804407318</c:v>
                </c:pt>
                <c:pt idx="10">
                  <c:v>105.63204900910536</c:v>
                </c:pt>
                <c:pt idx="11">
                  <c:v>99.248952954966143</c:v>
                </c:pt>
                <c:pt idx="12">
                  <c:v>90.899153974165245</c:v>
                </c:pt>
                <c:pt idx="13">
                  <c:v>81.627542111677769</c:v>
                </c:pt>
                <c:pt idx="14">
                  <c:v>75.692306892488446</c:v>
                </c:pt>
                <c:pt idx="15">
                  <c:v>64.232596702344082</c:v>
                </c:pt>
              </c:numCache>
            </c:numRef>
          </c:xVal>
          <c:yVal>
            <c:numRef>
              <c:f>'Laskenta poistopuoli'!$C$10:$C$25</c:f>
              <c:numCache>
                <c:formatCode>0.0</c:formatCode>
                <c:ptCount val="16"/>
                <c:pt idx="0">
                  <c:v>8.3332389451078441</c:v>
                </c:pt>
                <c:pt idx="1">
                  <c:v>60.281619042016544</c:v>
                </c:pt>
                <c:pt idx="2">
                  <c:v>105.2580533546882</c:v>
                </c:pt>
                <c:pt idx="3">
                  <c:v>162.52919137514681</c:v>
                </c:pt>
                <c:pt idx="4">
                  <c:v>210.31375404732603</c:v>
                </c:pt>
                <c:pt idx="5">
                  <c:v>259.59449353451407</c:v>
                </c:pt>
                <c:pt idx="6">
                  <c:v>307.43668303913057</c:v>
                </c:pt>
                <c:pt idx="7">
                  <c:v>369.82267380939049</c:v>
                </c:pt>
                <c:pt idx="8">
                  <c:v>415.41831777235154</c:v>
                </c:pt>
                <c:pt idx="9">
                  <c:v>462.64524725663728</c:v>
                </c:pt>
                <c:pt idx="10">
                  <c:v>515.36791085048742</c:v>
                </c:pt>
                <c:pt idx="11">
                  <c:v>565.57947372537251</c:v>
                </c:pt>
                <c:pt idx="12">
                  <c:v>619.09339875926935</c:v>
                </c:pt>
                <c:pt idx="13">
                  <c:v>678.80835432356696</c:v>
                </c:pt>
                <c:pt idx="14">
                  <c:v>714.24155253882213</c:v>
                </c:pt>
                <c:pt idx="15">
                  <c:v>773.40949694701226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05-4715-B2DE-D90E59C5CD5A}"/>
            </c:ext>
          </c:extLst>
        </c:ser>
        <c:ser>
          <c:idx val="1"/>
          <c:order val="1"/>
          <c:tx>
            <c:strRef>
              <c:f>'Laskenta poistopuoli'!$B$28</c:f>
              <c:strCache>
                <c:ptCount val="1"/>
                <c:pt idx="0">
                  <c:v>Poisto 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forward val="10"/>
            <c:backward val="20"/>
            <c:dispRSqr val="1"/>
            <c:dispEq val="1"/>
            <c:trendlineLbl>
              <c:layout>
                <c:manualLayout>
                  <c:x val="-0.51011915375753569"/>
                  <c:y val="-0.40361081421302358"/>
                </c:manualLayout>
              </c:layout>
              <c:numFmt formatCode="General" sourceLinked="0"/>
              <c:spPr>
                <a:solidFill>
                  <a:schemeClr val="accent2">
                    <a:lumMod val="20000"/>
                    <a:lumOff val="80000"/>
                  </a:schemeClr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poistopuoli'!$B$30:$B$41</c:f>
              <c:numCache>
                <c:formatCode>0.00</c:formatCode>
                <c:ptCount val="12"/>
                <c:pt idx="0">
                  <c:v>140.34311979940352</c:v>
                </c:pt>
                <c:pt idx="1">
                  <c:v>134.93147376621303</c:v>
                </c:pt>
                <c:pt idx="2">
                  <c:v>129.88142769452622</c:v>
                </c:pt>
                <c:pt idx="3">
                  <c:v>123.93107212192999</c:v>
                </c:pt>
                <c:pt idx="4">
                  <c:v>117.70556846636556</c:v>
                </c:pt>
                <c:pt idx="5">
                  <c:v>107.99931264581946</c:v>
                </c:pt>
                <c:pt idx="6">
                  <c:v>100.92308706616288</c:v>
                </c:pt>
                <c:pt idx="7">
                  <c:v>92.989358763233597</c:v>
                </c:pt>
                <c:pt idx="8">
                  <c:v>83.523542786750383</c:v>
                </c:pt>
                <c:pt idx="9">
                  <c:v>73.652283129614062</c:v>
                </c:pt>
                <c:pt idx="10">
                  <c:v>61.580574668869609</c:v>
                </c:pt>
                <c:pt idx="11">
                  <c:v>28.233992641510088</c:v>
                </c:pt>
              </c:numCache>
            </c:numRef>
          </c:xVal>
          <c:yVal>
            <c:numRef>
              <c:f>'Laskenta poistopuoli'!$C$30:$C$41</c:f>
              <c:numCache>
                <c:formatCode>0.0</c:formatCode>
                <c:ptCount val="12"/>
                <c:pt idx="0">
                  <c:v>9.6040812720355149</c:v>
                </c:pt>
                <c:pt idx="1">
                  <c:v>56.561590147307172</c:v>
                </c:pt>
                <c:pt idx="2">
                  <c:v>104.34907006347532</c:v>
                </c:pt>
                <c:pt idx="3">
                  <c:v>155.91491896191133</c:v>
                </c:pt>
                <c:pt idx="4">
                  <c:v>205.77862554362156</c:v>
                </c:pt>
                <c:pt idx="5">
                  <c:v>258.87814311011357</c:v>
                </c:pt>
                <c:pt idx="6">
                  <c:v>309.23469671961016</c:v>
                </c:pt>
                <c:pt idx="7">
                  <c:v>358.41789185557275</c:v>
                </c:pt>
                <c:pt idx="8">
                  <c:v>409.4257608415225</c:v>
                </c:pt>
                <c:pt idx="9">
                  <c:v>457.98556876697455</c:v>
                </c:pt>
                <c:pt idx="10">
                  <c:v>507.01797591908598</c:v>
                </c:pt>
                <c:pt idx="11">
                  <c:v>582.82833324027581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205-4715-B2DE-D90E59C5CD5A}"/>
            </c:ext>
          </c:extLst>
        </c:ser>
        <c:ser>
          <c:idx val="3"/>
          <c:order val="2"/>
          <c:tx>
            <c:strRef>
              <c:f>'Laskenta poistopuoli'!$B$44</c:f>
              <c:strCache>
                <c:ptCount val="1"/>
                <c:pt idx="0">
                  <c:v>Poisto 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olid"/>
              </a:ln>
              <a:effectLst/>
            </c:spPr>
            <c:trendlineType val="poly"/>
            <c:order val="2"/>
            <c:forward val="15"/>
            <c:backward val="30"/>
            <c:dispRSqr val="1"/>
            <c:dispEq val="1"/>
            <c:trendlineLbl>
              <c:layout>
                <c:manualLayout>
                  <c:x val="-0.33341262326864207"/>
                  <c:y val="-0.31313715741404274"/>
                </c:manualLayout>
              </c:layout>
              <c:numFmt formatCode="General" sourceLinked="0"/>
              <c:spPr>
                <a:solidFill>
                  <a:schemeClr val="accent4">
                    <a:lumMod val="20000"/>
                    <a:lumOff val="80000"/>
                  </a:schemeClr>
                </a:solidFill>
                <a:ln>
                  <a:solidFill>
                    <a:schemeClr val="accent4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poistopuoli'!$B$46:$B$53</c:f>
              <c:numCache>
                <c:formatCode>0.00</c:formatCode>
                <c:ptCount val="8"/>
                <c:pt idx="0">
                  <c:v>100.23825114520966</c:v>
                </c:pt>
                <c:pt idx="1">
                  <c:v>95.381215965432133</c:v>
                </c:pt>
                <c:pt idx="2">
                  <c:v>88.959437403723584</c:v>
                </c:pt>
                <c:pt idx="3">
                  <c:v>82.3909844603957</c:v>
                </c:pt>
                <c:pt idx="4">
                  <c:v>71.918386289200569</c:v>
                </c:pt>
                <c:pt idx="5">
                  <c:v>64.542975183483136</c:v>
                </c:pt>
                <c:pt idx="6">
                  <c:v>54.642574411533239</c:v>
                </c:pt>
                <c:pt idx="7">
                  <c:v>39.85839400221198</c:v>
                </c:pt>
              </c:numCache>
            </c:numRef>
          </c:xVal>
          <c:yVal>
            <c:numRef>
              <c:f>'Laskenta poistopuoli'!$C$46:$C$53</c:f>
              <c:numCache>
                <c:formatCode>0.0</c:formatCode>
                <c:ptCount val="8"/>
                <c:pt idx="0">
                  <c:v>9.3712680789629967</c:v>
                </c:pt>
                <c:pt idx="1">
                  <c:v>44.973437335423071</c:v>
                </c:pt>
                <c:pt idx="2">
                  <c:v>87.822686484908843</c:v>
                </c:pt>
                <c:pt idx="3">
                  <c:v>127.06831842857616</c:v>
                </c:pt>
                <c:pt idx="4">
                  <c:v>180.33525411034333</c:v>
                </c:pt>
                <c:pt idx="5">
                  <c:v>212.49908505136204</c:v>
                </c:pt>
                <c:pt idx="6">
                  <c:v>248.09142985663314</c:v>
                </c:pt>
                <c:pt idx="7">
                  <c:v>289.86154730986647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205-4715-B2DE-D90E59C5CD5A}"/>
            </c:ext>
          </c:extLst>
        </c:ser>
        <c:ser>
          <c:idx val="4"/>
          <c:order val="3"/>
          <c:tx>
            <c:strRef>
              <c:f>'Laskenta poistopuoli'!$B$57</c:f>
              <c:strCache>
                <c:ptCount val="1"/>
                <c:pt idx="0">
                  <c:v>Poisto 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forward val="25"/>
            <c:backward val="20"/>
            <c:dispRSqr val="1"/>
            <c:dispEq val="1"/>
            <c:trendlineLbl>
              <c:layout>
                <c:manualLayout>
                  <c:x val="-0.12409137979675705"/>
                  <c:y val="-0.15117114964545086"/>
                </c:manualLayout>
              </c:layout>
              <c:numFmt formatCode="General" sourceLinked="0"/>
              <c:spPr>
                <a:solidFill>
                  <a:schemeClr val="accent5">
                    <a:lumMod val="20000"/>
                    <a:lumOff val="80000"/>
                  </a:schemeClr>
                </a:solidFill>
                <a:ln>
                  <a:solidFill>
                    <a:schemeClr val="accent5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poistopuoli'!$B$60:$B$63</c:f>
              <c:numCache>
                <c:formatCode>0.00</c:formatCode>
                <c:ptCount val="4"/>
                <c:pt idx="0">
                  <c:v>56.2229830872798</c:v>
                </c:pt>
                <c:pt idx="1">
                  <c:v>43.952765014597702</c:v>
                </c:pt>
                <c:pt idx="2">
                  <c:v>31.914756602912099</c:v>
                </c:pt>
                <c:pt idx="3">
                  <c:v>15.41131930480895</c:v>
                </c:pt>
              </c:numCache>
            </c:numRef>
          </c:xVal>
          <c:yVal>
            <c:numRef>
              <c:f>'Laskenta poistopuoli'!$C$60:$C$63</c:f>
              <c:numCache>
                <c:formatCode>0.0</c:formatCode>
                <c:ptCount val="4"/>
                <c:pt idx="0">
                  <c:v>35.683300377315348</c:v>
                </c:pt>
                <c:pt idx="1">
                  <c:v>79.734582255176832</c:v>
                </c:pt>
                <c:pt idx="2">
                  <c:v>109.73170534278331</c:v>
                </c:pt>
                <c:pt idx="3">
                  <c:v>133.56339643427827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205-4715-B2DE-D90E59C5CD5A}"/>
            </c:ext>
          </c:extLst>
        </c:ser>
        <c:ser>
          <c:idx val="7"/>
          <c:order val="4"/>
          <c:tx>
            <c:v>Mitoituspisteen verkkokäyrä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2700" cap="rnd">
                <a:solidFill>
                  <a:schemeClr val="tx1"/>
                </a:solidFill>
                <a:prstDash val="dash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0.11239908736898084"/>
                  <c:y val="-3.936718813232046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poistopuoli'!$O$45:$O$53</c:f>
              <c:numCache>
                <c:formatCode>0.00</c:formatCode>
                <c:ptCount val="9"/>
                <c:pt idx="0">
                  <c:v>150.57772069495383</c:v>
                </c:pt>
                <c:pt idx="1">
                  <c:v>128.16693998999935</c:v>
                </c:pt>
                <c:pt idx="2">
                  <c:v>92.926642758702698</c:v>
                </c:pt>
                <c:pt idx="3">
                  <c:v>58.763814207834933</c:v>
                </c:pt>
                <c:pt idx="4">
                  <c:v>24.841612180719387</c:v>
                </c:pt>
                <c:pt idx="5" formatCode="General">
                  <c:v>5</c:v>
                </c:pt>
              </c:numCache>
            </c:numRef>
          </c:xVal>
          <c:yVal>
            <c:numRef>
              <c:f>'Laskenta poistopuoli'!$P$45:$P$53</c:f>
              <c:numCache>
                <c:formatCode>0.0</c:formatCode>
                <c:ptCount val="9"/>
                <c:pt idx="0">
                  <c:v>160.66928833395357</c:v>
                </c:pt>
                <c:pt idx="1">
                  <c:v>116.40280971088502</c:v>
                </c:pt>
                <c:pt idx="2">
                  <c:v>61.191616598664631</c:v>
                </c:pt>
                <c:pt idx="3">
                  <c:v>24.469854451905775</c:v>
                </c:pt>
                <c:pt idx="4">
                  <c:v>4.3729145106098768</c:v>
                </c:pt>
                <c:pt idx="5" formatCode="General">
                  <c:v>0.17715419501133789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205-4715-B2DE-D90E59C5CD5A}"/>
            </c:ext>
          </c:extLst>
        </c:ser>
        <c:ser>
          <c:idx val="8"/>
          <c:order val="5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rgbClr val="FF0000"/>
              </a:solidFill>
              <a:ln w="9525">
                <a:solidFill>
                  <a:srgbClr val="600000"/>
                </a:solidFill>
              </a:ln>
              <a:effectLst/>
            </c:spPr>
          </c:marker>
          <c:xVal>
            <c:numRef>
              <c:f>'Laskenta poistopuoli'!$I$23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'Laskenta poistopuoli'!$I$24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7205-4715-B2DE-D90E59C5CD5A}"/>
            </c:ext>
          </c:extLst>
        </c:ser>
        <c:ser>
          <c:idx val="9"/>
          <c:order val="6"/>
          <c:tx>
            <c:v>Yläraja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lgDash"/>
              </a:ln>
              <a:effectLst/>
            </c:spPr>
            <c:trendlineType val="powe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poistopuoli'!$I$82:$I$85</c:f>
              <c:numCache>
                <c:formatCode>0.0</c:formatCode>
                <c:ptCount val="4"/>
                <c:pt idx="0">
                  <c:v>5</c:v>
                </c:pt>
                <c:pt idx="1">
                  <c:v>31.666666666666668</c:v>
                </c:pt>
                <c:pt idx="2">
                  <c:v>58.333333333333336</c:v>
                </c:pt>
                <c:pt idx="3">
                  <c:v>85</c:v>
                </c:pt>
              </c:numCache>
            </c:numRef>
          </c:xVal>
          <c:yVal>
            <c:numRef>
              <c:f>'Laskenta poistopuoli'!$J$82:$J$85</c:f>
              <c:numCache>
                <c:formatCode>0.0</c:formatCode>
                <c:ptCount val="4"/>
                <c:pt idx="0">
                  <c:v>38.823529411764703</c:v>
                </c:pt>
                <c:pt idx="1">
                  <c:v>245.88235294117649</c:v>
                </c:pt>
                <c:pt idx="2">
                  <c:v>452.94117647058823</c:v>
                </c:pt>
                <c:pt idx="3">
                  <c:v>660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7205-4715-B2DE-D90E59C5CD5A}"/>
            </c:ext>
          </c:extLst>
        </c:ser>
        <c:ser>
          <c:idx val="10"/>
          <c:order val="7"/>
          <c:tx>
            <c:v>Alaraja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bg1">
                    <a:lumMod val="50000"/>
                  </a:schemeClr>
                </a:solidFill>
                <a:prstDash val="lgDash"/>
              </a:ln>
              <a:effectLst/>
            </c:spPr>
            <c:trendlineType val="powe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poistopuoli'!$N$82:$N$85</c:f>
              <c:numCache>
                <c:formatCode>0.0</c:formatCode>
                <c:ptCount val="4"/>
                <c:pt idx="0">
                  <c:v>5</c:v>
                </c:pt>
                <c:pt idx="1">
                  <c:v>53.333333333333336</c:v>
                </c:pt>
                <c:pt idx="2">
                  <c:v>101.66666666666667</c:v>
                </c:pt>
                <c:pt idx="3">
                  <c:v>150</c:v>
                </c:pt>
              </c:numCache>
            </c:numRef>
          </c:xVal>
          <c:yVal>
            <c:numRef>
              <c:f>'Laskenta poistopuoli'!$O$82:$O$85</c:f>
              <c:numCache>
                <c:formatCode>0.0</c:formatCode>
                <c:ptCount val="4"/>
                <c:pt idx="0">
                  <c:v>1.1111111111111112E-2</c:v>
                </c:pt>
                <c:pt idx="1">
                  <c:v>1.2641975308641977</c:v>
                </c:pt>
                <c:pt idx="2">
                  <c:v>4.5938271604938272</c:v>
                </c:pt>
                <c:pt idx="3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7205-4715-B2DE-D90E59C5CD5A}"/>
            </c:ext>
          </c:extLst>
        </c:ser>
        <c:ser>
          <c:idx val="2"/>
          <c:order val="8"/>
          <c:spPr>
            <a:ln w="25400" cap="rnd">
              <a:noFill/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poistopuoli'!$AQ$3:$AQ$15</c:f>
              <c:numCache>
                <c:formatCode>General</c:formatCode>
                <c:ptCount val="13"/>
              </c:numCache>
            </c:numRef>
          </c:xVal>
          <c:yVal>
            <c:numRef>
              <c:f>'Laskenta poistopuoli'!$AR$3:$AR$15</c:f>
              <c:numCache>
                <c:formatCode>General</c:formatCode>
                <c:ptCount val="13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7205-4715-B2DE-D90E59C5CD5A}"/>
            </c:ext>
          </c:extLst>
        </c:ser>
        <c:ser>
          <c:idx val="5"/>
          <c:order val="9"/>
          <c:tx>
            <c:v>Mittauspisteet Lw poisto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äänitehotasot'!$F$56:$F$71</c:f>
              <c:numCache>
                <c:formatCode>0.0</c:formatCode>
                <c:ptCount val="16"/>
                <c:pt idx="0">
                  <c:v>157.03860191126316</c:v>
                </c:pt>
                <c:pt idx="1">
                  <c:v>143.77222168068852</c:v>
                </c:pt>
                <c:pt idx="2">
                  <c:v>129.78686682195772</c:v>
                </c:pt>
                <c:pt idx="3">
                  <c:v>115.14682583239839</c:v>
                </c:pt>
                <c:pt idx="4">
                  <c:v>133.42928019520559</c:v>
                </c:pt>
                <c:pt idx="5">
                  <c:v>122.32952708814292</c:v>
                </c:pt>
                <c:pt idx="6">
                  <c:v>109.7254885587823</c:v>
                </c:pt>
                <c:pt idx="7">
                  <c:v>96.783984844529854</c:v>
                </c:pt>
                <c:pt idx="8">
                  <c:v>96.239143550334759</c:v>
                </c:pt>
                <c:pt idx="9">
                  <c:v>89.370392636908349</c:v>
                </c:pt>
                <c:pt idx="10">
                  <c:v>80.669573412379322</c:v>
                </c:pt>
                <c:pt idx="11">
                  <c:v>71.440570595477595</c:v>
                </c:pt>
                <c:pt idx="12">
                  <c:v>60.911031133624881</c:v>
                </c:pt>
                <c:pt idx="13">
                  <c:v>57.418004704293189</c:v>
                </c:pt>
                <c:pt idx="14">
                  <c:v>52.036723895910569</c:v>
                </c:pt>
                <c:pt idx="15">
                  <c:v>46.130252561001356</c:v>
                </c:pt>
              </c:numCache>
            </c:numRef>
          </c:xVal>
          <c:yVal>
            <c:numRef>
              <c:f>'Laskenta äänitehotasot'!$G$56:$G$71</c:f>
              <c:numCache>
                <c:formatCode>0.0</c:formatCode>
                <c:ptCount val="16"/>
                <c:pt idx="0">
                  <c:v>102.092430562251</c:v>
                </c:pt>
                <c:pt idx="1">
                  <c:v>226.35064870387797</c:v>
                </c:pt>
                <c:pt idx="2">
                  <c:v>341.73794998386967</c:v>
                </c:pt>
                <c:pt idx="3">
                  <c:v>450.44582198139278</c:v>
                </c:pt>
                <c:pt idx="4">
                  <c:v>74.710108562649836</c:v>
                </c:pt>
                <c:pt idx="5">
                  <c:v>167.82243916881114</c:v>
                </c:pt>
                <c:pt idx="6">
                  <c:v>255.83198724622918</c:v>
                </c:pt>
                <c:pt idx="7">
                  <c:v>334.15807703926242</c:v>
                </c:pt>
                <c:pt idx="8">
                  <c:v>40.628876983451406</c:v>
                </c:pt>
                <c:pt idx="9">
                  <c:v>90.435417349706668</c:v>
                </c:pt>
                <c:pt idx="10">
                  <c:v>138.90772905845239</c:v>
                </c:pt>
                <c:pt idx="11">
                  <c:v>181.25079316482041</c:v>
                </c:pt>
                <c:pt idx="12">
                  <c:v>18.2933149865895</c:v>
                </c:pt>
                <c:pt idx="13">
                  <c:v>36.769501922994245</c:v>
                </c:pt>
                <c:pt idx="14">
                  <c:v>56.903239317673155</c:v>
                </c:pt>
                <c:pt idx="15">
                  <c:v>74.117345885504108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993-4799-AE2A-3E19A2D6C29F}"/>
            </c:ext>
          </c:extLst>
        </c:ser>
        <c:ser>
          <c:idx val="6"/>
          <c:order val="10"/>
          <c:tx>
            <c:v>Mittauspisteet Lw jäte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'Laskenta äänitehotasot'!$F$80:$F$95</c:f>
              <c:numCache>
                <c:formatCode>0.0</c:formatCode>
                <c:ptCount val="16"/>
                <c:pt idx="0">
                  <c:v>157.07133430005098</c:v>
                </c:pt>
                <c:pt idx="1">
                  <c:v>143.34522357105402</c:v>
                </c:pt>
                <c:pt idx="2">
                  <c:v>129.19223463872049</c:v>
                </c:pt>
                <c:pt idx="3">
                  <c:v>112.84136436101015</c:v>
                </c:pt>
                <c:pt idx="4">
                  <c:v>133.48734200953754</c:v>
                </c:pt>
                <c:pt idx="5">
                  <c:v>121.94822345460111</c:v>
                </c:pt>
                <c:pt idx="6">
                  <c:v>109.49508090714585</c:v>
                </c:pt>
                <c:pt idx="7">
                  <c:v>94.620434367922911</c:v>
                </c:pt>
                <c:pt idx="8">
                  <c:v>96.307031540483251</c:v>
                </c:pt>
                <c:pt idx="9">
                  <c:v>88.998886231906411</c:v>
                </c:pt>
                <c:pt idx="10">
                  <c:v>80.416957080027231</c:v>
                </c:pt>
                <c:pt idx="11">
                  <c:v>69.813714968862342</c:v>
                </c:pt>
                <c:pt idx="12">
                  <c:v>61.035386437266624</c:v>
                </c:pt>
                <c:pt idx="13">
                  <c:v>57.170637308606381</c:v>
                </c:pt>
                <c:pt idx="14">
                  <c:v>51.85868678326694</c:v>
                </c:pt>
                <c:pt idx="15">
                  <c:v>44.884292152197567</c:v>
                </c:pt>
              </c:numCache>
            </c:numRef>
          </c:xVal>
          <c:yVal>
            <c:numRef>
              <c:f>'Laskenta äänitehotasot'!$G$80:$G$95</c:f>
              <c:numCache>
                <c:formatCode>0.0</c:formatCode>
                <c:ptCount val="16"/>
                <c:pt idx="0">
                  <c:v>101.76263837614924</c:v>
                </c:pt>
                <c:pt idx="1">
                  <c:v>230.08053625398486</c:v>
                </c:pt>
                <c:pt idx="2">
                  <c:v>346.36815924371012</c:v>
                </c:pt>
                <c:pt idx="3">
                  <c:v>466.6628614098309</c:v>
                </c:pt>
                <c:pt idx="4">
                  <c:v>74.166449167676646</c:v>
                </c:pt>
                <c:pt idx="5">
                  <c:v>170.71257675905628</c:v>
                </c:pt>
                <c:pt idx="6">
                  <c:v>257.31785855550811</c:v>
                </c:pt>
                <c:pt idx="7">
                  <c:v>346.36903071169007</c:v>
                </c:pt>
                <c:pt idx="8">
                  <c:v>40.046752028618322</c:v>
                </c:pt>
                <c:pt idx="9">
                  <c:v>92.757962677004372</c:v>
                </c:pt>
                <c:pt idx="10">
                  <c:v>140.16724837444886</c:v>
                </c:pt>
                <c:pt idx="11">
                  <c:v>188.06484039847919</c:v>
                </c:pt>
                <c:pt idx="12">
                  <c:v>17.464650548692372</c:v>
                </c:pt>
                <c:pt idx="13">
                  <c:v>37.851465327832074</c:v>
                </c:pt>
                <c:pt idx="14">
                  <c:v>57.478811602521134</c:v>
                </c:pt>
                <c:pt idx="15">
                  <c:v>77.356604880417976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993-4799-AE2A-3E19A2D6C29F}"/>
            </c:ext>
          </c:extLst>
        </c:ser>
        <c:ser>
          <c:idx val="11"/>
          <c:order val="11"/>
          <c:tx>
            <c:v>Mittauspisteet Lw tulo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bg1">
                  <a:lumMod val="75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'Laskenta äänitehotasot'!$F$8:$F$23</c:f>
              <c:numCache>
                <c:formatCode>0.0</c:formatCode>
                <c:ptCount val="16"/>
                <c:pt idx="0">
                  <c:v>156.5473041616448</c:v>
                </c:pt>
                <c:pt idx="1">
                  <c:v>144.09797565785851</c:v>
                </c:pt>
                <c:pt idx="2">
                  <c:v>129.58702199451614</c:v>
                </c:pt>
                <c:pt idx="3">
                  <c:v>111.09250303149187</c:v>
                </c:pt>
                <c:pt idx="4">
                  <c:v>133.17776727242691</c:v>
                </c:pt>
                <c:pt idx="5">
                  <c:v>122.72845539053709</c:v>
                </c:pt>
                <c:pt idx="6">
                  <c:v>110.12586302805448</c:v>
                </c:pt>
                <c:pt idx="7">
                  <c:v>93.555143057846266</c:v>
                </c:pt>
                <c:pt idx="8">
                  <c:v>96.131260461609799</c:v>
                </c:pt>
                <c:pt idx="9">
                  <c:v>89.725188181447535</c:v>
                </c:pt>
                <c:pt idx="10">
                  <c:v>81.086256310220094</c:v>
                </c:pt>
                <c:pt idx="11">
                  <c:v>69.368286999788822</c:v>
                </c:pt>
                <c:pt idx="12">
                  <c:v>60.982402694827016</c:v>
                </c:pt>
                <c:pt idx="13">
                  <c:v>57.873574937333466</c:v>
                </c:pt>
                <c:pt idx="14">
                  <c:v>52.539268689977625</c:v>
                </c:pt>
                <c:pt idx="15">
                  <c:v>44.7489556644001</c:v>
                </c:pt>
              </c:numCache>
            </c:numRef>
          </c:xVal>
          <c:yVal>
            <c:numRef>
              <c:f>'Laskenta äänitehotasot'!$G$8:$G$23</c:f>
              <c:numCache>
                <c:formatCode>0.0</c:formatCode>
                <c:ptCount val="16"/>
                <c:pt idx="0">
                  <c:v>107.0266719489271</c:v>
                </c:pt>
                <c:pt idx="1">
                  <c:v>223.49524534335896</c:v>
                </c:pt>
                <c:pt idx="2">
                  <c:v>343.29631780094081</c:v>
                </c:pt>
                <c:pt idx="3">
                  <c:v>478.81947661867042</c:v>
                </c:pt>
                <c:pt idx="4">
                  <c:v>77.056728029651708</c:v>
                </c:pt>
                <c:pt idx="5">
                  <c:v>164.78058398923093</c:v>
                </c:pt>
                <c:pt idx="6">
                  <c:v>253.24100400188266</c:v>
                </c:pt>
                <c:pt idx="7">
                  <c:v>352.30139802363641</c:v>
                </c:pt>
                <c:pt idx="8">
                  <c:v>41.54895067891286</c:v>
                </c:pt>
                <c:pt idx="9">
                  <c:v>88.190203045012638</c:v>
                </c:pt>
                <c:pt idx="10">
                  <c:v>136.81538008238832</c:v>
                </c:pt>
                <c:pt idx="11">
                  <c:v>189.90237493373721</c:v>
                </c:pt>
                <c:pt idx="12">
                  <c:v>17.819976690537352</c:v>
                </c:pt>
                <c:pt idx="13">
                  <c:v>34.720003957353967</c:v>
                </c:pt>
                <c:pt idx="14">
                  <c:v>55.254489837712079</c:v>
                </c:pt>
                <c:pt idx="15">
                  <c:v>77.701926136145616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4993-4799-AE2A-3E19A2D6C29F}"/>
            </c:ext>
          </c:extLst>
        </c:ser>
        <c:ser>
          <c:idx val="12"/>
          <c:order val="12"/>
          <c:tx>
            <c:v>Mittauspisteet Lw ulko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'Laskenta äänitehotasot'!$F$32:$F$47</c:f>
              <c:numCache>
                <c:formatCode>0.0</c:formatCode>
                <c:ptCount val="16"/>
                <c:pt idx="0">
                  <c:v>156.77202829819038</c:v>
                </c:pt>
                <c:pt idx="1">
                  <c:v>144.0622174235148</c:v>
                </c:pt>
                <c:pt idx="2">
                  <c:v>129.5387346354868</c:v>
                </c:pt>
                <c:pt idx="3">
                  <c:v>113.57469321284002</c:v>
                </c:pt>
                <c:pt idx="4">
                  <c:v>133.37038564795932</c:v>
                </c:pt>
                <c:pt idx="5">
                  <c:v>122.89538289381215</c:v>
                </c:pt>
                <c:pt idx="6">
                  <c:v>110.36840435560609</c:v>
                </c:pt>
                <c:pt idx="7">
                  <c:v>96.281440577966649</c:v>
                </c:pt>
                <c:pt idx="8">
                  <c:v>96.242813894546174</c:v>
                </c:pt>
                <c:pt idx="9">
                  <c:v>89.636625494315311</c:v>
                </c:pt>
                <c:pt idx="10">
                  <c:v>80.894602049496072</c:v>
                </c:pt>
                <c:pt idx="11">
                  <c:v>71.049423749605182</c:v>
                </c:pt>
                <c:pt idx="12">
                  <c:v>61.081609586861354</c:v>
                </c:pt>
                <c:pt idx="13">
                  <c:v>57.573292666284338</c:v>
                </c:pt>
                <c:pt idx="14">
                  <c:v>52.3544093296032</c:v>
                </c:pt>
                <c:pt idx="15">
                  <c:v>45.734921927659116</c:v>
                </c:pt>
              </c:numCache>
            </c:numRef>
          </c:xVal>
          <c:yVal>
            <c:numRef>
              <c:f>'Laskenta äänitehotasot'!$G$32:$G$47</c:f>
              <c:numCache>
                <c:formatCode>0.0</c:formatCode>
                <c:ptCount val="16"/>
                <c:pt idx="0">
                  <c:v>104.77336359822142</c:v>
                </c:pt>
                <c:pt idx="1">
                  <c:v>223.80910623867783</c:v>
                </c:pt>
                <c:pt idx="2">
                  <c:v>343.67251614768765</c:v>
                </c:pt>
                <c:pt idx="3">
                  <c:v>461.52845081070541</c:v>
                </c:pt>
                <c:pt idx="4">
                  <c:v>75.260817796757863</c:v>
                </c:pt>
                <c:pt idx="5">
                  <c:v>163.50216809882701</c:v>
                </c:pt>
                <c:pt idx="6">
                  <c:v>251.66580059832327</c:v>
                </c:pt>
                <c:pt idx="7">
                  <c:v>337.01429220327896</c:v>
                </c:pt>
                <c:pt idx="8">
                  <c:v>40.597467152180812</c:v>
                </c:pt>
                <c:pt idx="9">
                  <c:v>88.753181543165368</c:v>
                </c:pt>
                <c:pt idx="10">
                  <c:v>137.78007451276184</c:v>
                </c:pt>
                <c:pt idx="11">
                  <c:v>182.90420409835829</c:v>
                </c:pt>
                <c:pt idx="12">
                  <c:v>17.151838067693202</c:v>
                </c:pt>
                <c:pt idx="13">
                  <c:v>36.079448964061996</c:v>
                </c:pt>
                <c:pt idx="14">
                  <c:v>55.86520132426476</c:v>
                </c:pt>
                <c:pt idx="15">
                  <c:v>75.157192747861757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4993-4799-AE2A-3E19A2D6C29F}"/>
            </c:ext>
          </c:extLst>
        </c:ser>
        <c:ser>
          <c:idx val="13"/>
          <c:order val="13"/>
          <c:tx>
            <c:v>Mittauspisteet Lw vaipan läpi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'Laskenta äänitehotasot'!$F$104:$F$119</c:f>
              <c:numCache>
                <c:formatCode>0.0</c:formatCode>
                <c:ptCount val="16"/>
                <c:pt idx="0">
                  <c:v>154.67353277087452</c:v>
                </c:pt>
                <c:pt idx="1">
                  <c:v>143.37258639698734</c:v>
                </c:pt>
                <c:pt idx="2">
                  <c:v>129.10246085512708</c:v>
                </c:pt>
                <c:pt idx="3">
                  <c:v>112.42295326689053</c:v>
                </c:pt>
                <c:pt idx="4">
                  <c:v>131.56298726121182</c:v>
                </c:pt>
                <c:pt idx="5">
                  <c:v>121.75644300407495</c:v>
                </c:pt>
                <c:pt idx="6">
                  <c:v>109.77606548331498</c:v>
                </c:pt>
                <c:pt idx="7">
                  <c:v>94.975898146700317</c:v>
                </c:pt>
                <c:pt idx="8">
                  <c:v>95.153900321387582</c:v>
                </c:pt>
                <c:pt idx="9">
                  <c:v>89.0983757978493</c:v>
                </c:pt>
                <c:pt idx="10">
                  <c:v>80.825262462250663</c:v>
                </c:pt>
                <c:pt idx="11">
                  <c:v>70.070751416175909</c:v>
                </c:pt>
                <c:pt idx="12">
                  <c:v>60.462707273709761</c:v>
                </c:pt>
                <c:pt idx="13">
                  <c:v>57.113711315551079</c:v>
                </c:pt>
                <c:pt idx="14">
                  <c:v>52.029976826912531</c:v>
                </c:pt>
                <c:pt idx="15">
                  <c:v>44.826091961292548</c:v>
                </c:pt>
              </c:numCache>
            </c:numRef>
          </c:xVal>
          <c:yVal>
            <c:numRef>
              <c:f>'Laskenta äänitehotasot'!$G$104:$G$119</c:f>
              <c:numCache>
                <c:formatCode>0.0</c:formatCode>
                <c:ptCount val="16"/>
                <c:pt idx="0">
                  <c:v>125.58148161795198</c:v>
                </c:pt>
                <c:pt idx="1">
                  <c:v>229.84195659733228</c:v>
                </c:pt>
                <c:pt idx="2">
                  <c:v>347.06546013778291</c:v>
                </c:pt>
                <c:pt idx="3">
                  <c:v>469.58251919730566</c:v>
                </c:pt>
                <c:pt idx="4">
                  <c:v>91.810828847829526</c:v>
                </c:pt>
                <c:pt idx="5">
                  <c:v>172.15989299726076</c:v>
                </c:pt>
                <c:pt idx="6">
                  <c:v>255.50531733683698</c:v>
                </c:pt>
                <c:pt idx="7">
                  <c:v>344.3779548529011</c:v>
                </c:pt>
                <c:pt idx="8">
                  <c:v>49.622915218002866</c:v>
                </c:pt>
                <c:pt idx="9">
                  <c:v>92.138775373164449</c:v>
                </c:pt>
                <c:pt idx="10">
                  <c:v>138.1281222083808</c:v>
                </c:pt>
                <c:pt idx="11">
                  <c:v>186.999090320562</c:v>
                </c:pt>
                <c:pt idx="12">
                  <c:v>21.140196499178764</c:v>
                </c:pt>
                <c:pt idx="13">
                  <c:v>38.097557761691561</c:v>
                </c:pt>
                <c:pt idx="14">
                  <c:v>56.925131370665078</c:v>
                </c:pt>
                <c:pt idx="15">
                  <c:v>77.505258337429723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5A8-4A85-8E1B-147F63B78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6172112"/>
        <c:axId val="1886172528"/>
      </c:scatterChart>
      <c:valAx>
        <c:axId val="188617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86172528"/>
        <c:crosses val="autoZero"/>
        <c:crossBetween val="midCat"/>
      </c:valAx>
      <c:valAx>
        <c:axId val="1886172528"/>
        <c:scaling>
          <c:orientation val="minMax"/>
          <c:max val="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Paine-ero  P</a:t>
                </a:r>
                <a:r>
                  <a:rPr lang="fi-FI" baseline="-25000"/>
                  <a:t>fD</a:t>
                </a:r>
                <a:r>
                  <a:rPr lang="fi-FI"/>
                  <a:t> [Pa]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86172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050"/>
              <a:t>Ohjausjännitteet ja tilavuusvirrat mitoituspisteen</a:t>
            </a:r>
            <a:r>
              <a:rPr lang="fi-FI" sz="1050" baseline="0"/>
              <a:t> verkkokäyrällä</a:t>
            </a:r>
            <a:endParaRPr lang="fi-FI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poistopuoli'!$I$67:$I$71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</c:numCache>
            </c:numRef>
          </c:xVal>
          <c:yVal>
            <c:numRef>
              <c:f>'Laskenta poistopuoli'!$J$67:$J$71</c:f>
              <c:numCache>
                <c:formatCode>0.00</c:formatCode>
                <c:ptCount val="5"/>
                <c:pt idx="0" formatCode="General">
                  <c:v>145.00251468005561</c:v>
                </c:pt>
                <c:pt idx="1">
                  <c:v>128.16693998999935</c:v>
                </c:pt>
                <c:pt idx="2">
                  <c:v>92.926642758702698</c:v>
                </c:pt>
                <c:pt idx="3">
                  <c:v>58.763814207834933</c:v>
                </c:pt>
                <c:pt idx="4">
                  <c:v>24.841612180719387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5F-4519-B123-7FA9D84B2A6C}"/>
            </c:ext>
          </c:extLst>
        </c:ser>
        <c:ser>
          <c:idx val="1"/>
          <c:order val="1"/>
          <c:tx>
            <c:strRef>
              <c:f>'Laskenta poistopuoli'!$I$63</c:f>
              <c:strCache>
                <c:ptCount val="1"/>
                <c:pt idx="0">
                  <c:v>0–9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545756780402449"/>
                  <c:y val="7.02777777777777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poistopuoli'!$I$67:$I$71</c:f>
              <c:numCache>
                <c:formatCode>General</c:formatCode>
                <c:ptCount val="5"/>
                <c:pt idx="0">
                  <c:v>9</c:v>
                </c:pt>
                <c:pt idx="1">
                  <c:v>8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</c:numCache>
            </c:numRef>
          </c:xVal>
          <c:yVal>
            <c:numRef>
              <c:f>'Laskenta poistopuoli'!$J$67:$J$71</c:f>
              <c:numCache>
                <c:formatCode>0.00</c:formatCode>
                <c:ptCount val="5"/>
                <c:pt idx="0" formatCode="General">
                  <c:v>145.00251468005561</c:v>
                </c:pt>
                <c:pt idx="1">
                  <c:v>128.16693998999935</c:v>
                </c:pt>
                <c:pt idx="2">
                  <c:v>92.926642758702698</c:v>
                </c:pt>
                <c:pt idx="3">
                  <c:v>58.763814207834933</c:v>
                </c:pt>
                <c:pt idx="4">
                  <c:v>24.841612180719387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B5F-4519-B123-7FA9D84B2A6C}"/>
            </c:ext>
          </c:extLst>
        </c:ser>
        <c:ser>
          <c:idx val="2"/>
          <c:order val="2"/>
          <c:tx>
            <c:strRef>
              <c:f>'Laskenta poistopuoli'!$I$64</c:f>
              <c:strCache>
                <c:ptCount val="1"/>
                <c:pt idx="0">
                  <c:v>9–10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3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7340769903762027E-2"/>
                  <c:y val="-5.881525226013414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poistopuoli'!$I$66:$I$67</c:f>
              <c:numCache>
                <c:formatCode>General</c:formatCode>
                <c:ptCount val="2"/>
                <c:pt idx="0">
                  <c:v>10</c:v>
                </c:pt>
                <c:pt idx="1">
                  <c:v>9</c:v>
                </c:pt>
              </c:numCache>
            </c:numRef>
          </c:xVal>
          <c:yVal>
            <c:numRef>
              <c:f>'Laskenta poistopuoli'!$J$66:$J$67</c:f>
              <c:numCache>
                <c:formatCode>General</c:formatCode>
                <c:ptCount val="2"/>
                <c:pt idx="0" formatCode="0.00">
                  <c:v>150.57772069495383</c:v>
                </c:pt>
                <c:pt idx="1">
                  <c:v>145.00251468005561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B5F-4519-B123-7FA9D84B2A6C}"/>
            </c:ext>
          </c:extLst>
        </c:ser>
        <c:ser>
          <c:idx val="3"/>
          <c:order val="3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poistopuoli'!$N$64</c:f>
              <c:numCache>
                <c:formatCode>0.00" V"</c:formatCode>
                <c:ptCount val="1"/>
                <c:pt idx="0">
                  <c:v>5.4547727511868134</c:v>
                </c:pt>
              </c:numCache>
            </c:numRef>
          </c:xVal>
          <c:yVal>
            <c:numRef>
              <c:f>'Laskenta poistopuoli'!$I$23</c:f>
              <c:numCache>
                <c:formatCode>General</c:formatCode>
                <c:ptCount val="1"/>
                <c:pt idx="0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B5F-4519-B123-7FA9D84B2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0552032"/>
        <c:axId val="1600553280"/>
      </c:scatterChart>
      <c:valAx>
        <c:axId val="1600552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Ohjausjännite [V]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600553280"/>
        <c:crosses val="autoZero"/>
        <c:crossBetween val="midCat"/>
      </c:valAx>
      <c:valAx>
        <c:axId val="160055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</a:t>
                </a:r>
                <a:r>
                  <a:rPr lang="fi-FI" baseline="0"/>
                  <a:t> [dm³/s]</a:t>
                </a:r>
                <a:endParaRPr lang="fi-FI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600552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100"/>
              <a:t>Mitatut sähkötehot, poistopuhallin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'Laskenta poistopuoli'!$I$95</c:f>
              <c:strCache>
                <c:ptCount val="1"/>
                <c:pt idx="0">
                  <c:v>10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forward val="50"/>
            <c:backward val="50"/>
            <c:dispRSqr val="1"/>
            <c:dispEq val="1"/>
            <c:trendlineLbl>
              <c:layout>
                <c:manualLayout>
                  <c:x val="2.4612157460599096E-2"/>
                  <c:y val="-9.189312203619734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poistopuoli'!$C$10:$C$23</c:f>
              <c:numCache>
                <c:formatCode>0.0</c:formatCode>
                <c:ptCount val="14"/>
                <c:pt idx="0">
                  <c:v>8.3332389451078441</c:v>
                </c:pt>
                <c:pt idx="1">
                  <c:v>60.281619042016544</c:v>
                </c:pt>
                <c:pt idx="2">
                  <c:v>105.2580533546882</c:v>
                </c:pt>
                <c:pt idx="3">
                  <c:v>162.52919137514681</c:v>
                </c:pt>
                <c:pt idx="4">
                  <c:v>210.31375404732603</c:v>
                </c:pt>
                <c:pt idx="5">
                  <c:v>259.59449353451407</c:v>
                </c:pt>
                <c:pt idx="6">
                  <c:v>307.43668303913057</c:v>
                </c:pt>
                <c:pt idx="7">
                  <c:v>369.82267380939049</c:v>
                </c:pt>
                <c:pt idx="8">
                  <c:v>415.41831777235154</c:v>
                </c:pt>
                <c:pt idx="9">
                  <c:v>462.64524725663728</c:v>
                </c:pt>
                <c:pt idx="10">
                  <c:v>515.36791085048742</c:v>
                </c:pt>
                <c:pt idx="11">
                  <c:v>565.57947372537251</c:v>
                </c:pt>
                <c:pt idx="12">
                  <c:v>619.09339875926935</c:v>
                </c:pt>
                <c:pt idx="13">
                  <c:v>678.80835432356696</c:v>
                </c:pt>
              </c:numCache>
            </c:numRef>
          </c:xVal>
          <c:yVal>
            <c:numRef>
              <c:f>'Laskenta poistopuoli'!$F$10:$F$23</c:f>
              <c:numCache>
                <c:formatCode>0.0</c:formatCode>
                <c:ptCount val="14"/>
                <c:pt idx="0">
                  <c:v>179.37846745490154</c:v>
                </c:pt>
                <c:pt idx="1">
                  <c:v>179.30218403072695</c:v>
                </c:pt>
                <c:pt idx="2">
                  <c:v>179.34829163661547</c:v>
                </c:pt>
                <c:pt idx="3">
                  <c:v>178.90675306664863</c:v>
                </c:pt>
                <c:pt idx="4">
                  <c:v>179.11119908675653</c:v>
                </c:pt>
                <c:pt idx="5">
                  <c:v>178.9824946385196</c:v>
                </c:pt>
                <c:pt idx="6">
                  <c:v>178.29847281220702</c:v>
                </c:pt>
                <c:pt idx="7">
                  <c:v>178.67422167686715</c:v>
                </c:pt>
                <c:pt idx="8">
                  <c:v>178.63975058423719</c:v>
                </c:pt>
                <c:pt idx="9">
                  <c:v>178.38235986514044</c:v>
                </c:pt>
                <c:pt idx="10">
                  <c:v>178.82808598794225</c:v>
                </c:pt>
                <c:pt idx="11">
                  <c:v>179.68336971676914</c:v>
                </c:pt>
                <c:pt idx="12">
                  <c:v>179.65908444656515</c:v>
                </c:pt>
                <c:pt idx="13">
                  <c:v>179.56680496330497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64B-46AB-8D1D-C10B67BE9293}"/>
            </c:ext>
          </c:extLst>
        </c:ser>
        <c:ser>
          <c:idx val="1"/>
          <c:order val="1"/>
          <c:tx>
            <c:strRef>
              <c:f>'Laskenta poistopuoli'!$I$96</c:f>
              <c:strCache>
                <c:ptCount val="1"/>
                <c:pt idx="0">
                  <c:v>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forward val="50"/>
            <c:dispRSqr val="1"/>
            <c:dispEq val="1"/>
            <c:trendlineLbl>
              <c:layout>
                <c:manualLayout>
                  <c:x val="0.26769133918142768"/>
                  <c:y val="-2.0153782845473314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poistopuoli'!$C$30:$C$40</c:f>
              <c:numCache>
                <c:formatCode>0.0</c:formatCode>
                <c:ptCount val="11"/>
                <c:pt idx="0">
                  <c:v>9.6040812720355149</c:v>
                </c:pt>
                <c:pt idx="1">
                  <c:v>56.561590147307172</c:v>
                </c:pt>
                <c:pt idx="2">
                  <c:v>104.34907006347532</c:v>
                </c:pt>
                <c:pt idx="3">
                  <c:v>155.91491896191133</c:v>
                </c:pt>
                <c:pt idx="4">
                  <c:v>205.77862554362156</c:v>
                </c:pt>
                <c:pt idx="5">
                  <c:v>258.87814311011357</c:v>
                </c:pt>
                <c:pt idx="6">
                  <c:v>309.23469671961016</c:v>
                </c:pt>
                <c:pt idx="7">
                  <c:v>358.41789185557275</c:v>
                </c:pt>
                <c:pt idx="8">
                  <c:v>409.4257608415225</c:v>
                </c:pt>
                <c:pt idx="9">
                  <c:v>457.98556876697455</c:v>
                </c:pt>
                <c:pt idx="10">
                  <c:v>507.01797591908598</c:v>
                </c:pt>
              </c:numCache>
            </c:numRef>
          </c:xVal>
          <c:yVal>
            <c:numRef>
              <c:f>'Laskenta poistopuoli'!$F$30:$F$40</c:f>
              <c:numCache>
                <c:formatCode>0.0</c:formatCode>
                <c:ptCount val="11"/>
                <c:pt idx="0">
                  <c:v>114.48968759874298</c:v>
                </c:pt>
                <c:pt idx="1">
                  <c:v>115.73803841907306</c:v>
                </c:pt>
                <c:pt idx="2">
                  <c:v>117.09849336464217</c:v>
                </c:pt>
                <c:pt idx="3">
                  <c:v>117.02119520772463</c:v>
                </c:pt>
                <c:pt idx="4">
                  <c:v>117.36142298772054</c:v>
                </c:pt>
                <c:pt idx="5">
                  <c:v>117.94320491105559</c:v>
                </c:pt>
                <c:pt idx="6">
                  <c:v>117.67290199966151</c:v>
                </c:pt>
                <c:pt idx="7">
                  <c:v>116.09704612416617</c:v>
                </c:pt>
                <c:pt idx="8">
                  <c:v>115.07684402561146</c:v>
                </c:pt>
                <c:pt idx="9">
                  <c:v>112.46085977722055</c:v>
                </c:pt>
                <c:pt idx="10">
                  <c:v>108.84012475969993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64B-46AB-8D1D-C10B67BE9293}"/>
            </c:ext>
          </c:extLst>
        </c:ser>
        <c:ser>
          <c:idx val="2"/>
          <c:order val="2"/>
          <c:tx>
            <c:strRef>
              <c:f>'Laskenta poistopuoli'!$I$97</c:f>
              <c:strCache>
                <c:ptCount val="1"/>
                <c:pt idx="0">
                  <c:v>6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forward val="50"/>
            <c:dispRSqr val="1"/>
            <c:dispEq val="1"/>
            <c:trendlineLbl>
              <c:layout>
                <c:manualLayout>
                  <c:x val="0.10291753766495421"/>
                  <c:y val="-9.626614673218233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poistopuoli'!$C$46:$C$54</c:f>
              <c:numCache>
                <c:formatCode>0.0</c:formatCode>
                <c:ptCount val="9"/>
                <c:pt idx="0">
                  <c:v>9.3712680789629967</c:v>
                </c:pt>
                <c:pt idx="1">
                  <c:v>44.973437335423071</c:v>
                </c:pt>
                <c:pt idx="2">
                  <c:v>87.822686484908843</c:v>
                </c:pt>
                <c:pt idx="3">
                  <c:v>127.06831842857616</c:v>
                </c:pt>
                <c:pt idx="4">
                  <c:v>180.33525411034333</c:v>
                </c:pt>
                <c:pt idx="5">
                  <c:v>212.49908505136204</c:v>
                </c:pt>
                <c:pt idx="6">
                  <c:v>248.09142985663314</c:v>
                </c:pt>
                <c:pt idx="7">
                  <c:v>289.86154730986647</c:v>
                </c:pt>
                <c:pt idx="8">
                  <c:v>325.69251177403311</c:v>
                </c:pt>
              </c:numCache>
            </c:numRef>
          </c:xVal>
          <c:yVal>
            <c:numRef>
              <c:f>'Laskenta poistopuoli'!$F$46:$F$54</c:f>
              <c:numCache>
                <c:formatCode>0.0</c:formatCode>
                <c:ptCount val="9"/>
                <c:pt idx="0">
                  <c:v>51.886548387908825</c:v>
                </c:pt>
                <c:pt idx="1">
                  <c:v>53.181102676847786</c:v>
                </c:pt>
                <c:pt idx="2">
                  <c:v>53.776655259661588</c:v>
                </c:pt>
                <c:pt idx="3">
                  <c:v>54.07769730606492</c:v>
                </c:pt>
                <c:pt idx="4">
                  <c:v>53.416072652772442</c:v>
                </c:pt>
                <c:pt idx="5">
                  <c:v>52.784511732050348</c:v>
                </c:pt>
                <c:pt idx="6">
                  <c:v>51.497013641590762</c:v>
                </c:pt>
                <c:pt idx="7">
                  <c:v>48.906794800113445</c:v>
                </c:pt>
                <c:pt idx="8">
                  <c:v>42.872999646698993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64B-46AB-8D1D-C10B67BE9293}"/>
            </c:ext>
          </c:extLst>
        </c:ser>
        <c:ser>
          <c:idx val="3"/>
          <c:order val="3"/>
          <c:tx>
            <c:strRef>
              <c:f>'Laskenta poistopuoli'!$I$98</c:f>
              <c:strCache>
                <c:ptCount val="1"/>
                <c:pt idx="0">
                  <c:v>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forward val="10"/>
            <c:dispRSqr val="1"/>
            <c:dispEq val="1"/>
            <c:trendlineLbl>
              <c:layout>
                <c:manualLayout>
                  <c:x val="0.19361413620989534"/>
                  <c:y val="-2.191211935160880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poistopuoli'!$C$59:$C$63</c:f>
              <c:numCache>
                <c:formatCode>0.0</c:formatCode>
                <c:ptCount val="5"/>
                <c:pt idx="0" formatCode="0.00">
                  <c:v>2.3940630000150329</c:v>
                </c:pt>
                <c:pt idx="1">
                  <c:v>35.683300377315348</c:v>
                </c:pt>
                <c:pt idx="2">
                  <c:v>79.734582255176832</c:v>
                </c:pt>
                <c:pt idx="3">
                  <c:v>109.73170534278331</c:v>
                </c:pt>
                <c:pt idx="4">
                  <c:v>133.56339643427827</c:v>
                </c:pt>
              </c:numCache>
            </c:numRef>
          </c:xVal>
          <c:yVal>
            <c:numRef>
              <c:f>'Laskenta poistopuoli'!$F$59:$F$63</c:f>
              <c:numCache>
                <c:formatCode>0.0</c:formatCode>
                <c:ptCount val="5"/>
                <c:pt idx="0">
                  <c:v>20.745464530454491</c:v>
                </c:pt>
                <c:pt idx="1">
                  <c:v>20.182582825641752</c:v>
                </c:pt>
                <c:pt idx="2">
                  <c:v>19.357612231543492</c:v>
                </c:pt>
                <c:pt idx="3">
                  <c:v>19.34808645374736</c:v>
                </c:pt>
                <c:pt idx="4">
                  <c:v>17.557539388553078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64B-46AB-8D1D-C10B67BE9293}"/>
            </c:ext>
          </c:extLst>
        </c:ser>
        <c:ser>
          <c:idx val="5"/>
          <c:order val="4"/>
          <c:tx>
            <c:v>Mitoistuspisteen tehot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'Laskenta poistopuoli'!$M$95:$M$99</c:f>
              <c:numCache>
                <c:formatCode>0.0</c:formatCode>
                <c:ptCount val="5"/>
                <c:pt idx="0">
                  <c:v>160.66928833395357</c:v>
                </c:pt>
                <c:pt idx="1">
                  <c:v>116.40280971088502</c:v>
                </c:pt>
                <c:pt idx="2">
                  <c:v>61.191616598664631</c:v>
                </c:pt>
                <c:pt idx="3">
                  <c:v>24.469854451905775</c:v>
                </c:pt>
                <c:pt idx="4">
                  <c:v>4.3729145106098768</c:v>
                </c:pt>
              </c:numCache>
            </c:numRef>
          </c:xVal>
          <c:yVal>
            <c:numRef>
              <c:f>'Laskenta poistopuoli'!$N$95:$N$99</c:f>
              <c:numCache>
                <c:formatCode>0.00</c:formatCode>
                <c:ptCount val="5"/>
                <c:pt idx="0">
                  <c:v>178.89802317525604</c:v>
                </c:pt>
                <c:pt idx="1">
                  <c:v>117.1913362344403</c:v>
                </c:pt>
                <c:pt idx="2">
                  <c:v>53.690391060875442</c:v>
                </c:pt>
                <c:pt idx="3">
                  <c:v>20.493416893081253</c:v>
                </c:pt>
                <c:pt idx="4">
                  <c:v>6.6352273616089157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764B-46AB-8D1D-C10B67BE9293}"/>
            </c:ext>
          </c:extLst>
        </c:ser>
        <c:ser>
          <c:idx val="6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'Laskenta poistopuoli'!$I$24</c:f>
              <c:numCache>
                <c:formatCode>General</c:formatCode>
                <c:ptCount val="1"/>
                <c:pt idx="0">
                  <c:v>50</c:v>
                </c:pt>
              </c:numCache>
            </c:numRef>
          </c:xVal>
          <c:yVal>
            <c:numRef>
              <c:f>'Laskenta poistopuoli'!$J$117</c:f>
              <c:numCache>
                <c:formatCode>0.0</c:formatCode>
                <c:ptCount val="1"/>
                <c:pt idx="0">
                  <c:v>42.772607881119079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64B-46AB-8D1D-C10B67BE9293}"/>
            </c:ext>
          </c:extLst>
        </c:ser>
        <c:ser>
          <c:idx val="7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'Laskenta poistopuoli'!$C$10:$C$23</c:f>
              <c:numCache>
                <c:formatCode>0.0</c:formatCode>
                <c:ptCount val="14"/>
                <c:pt idx="0">
                  <c:v>8.3332389451078441</c:v>
                </c:pt>
                <c:pt idx="1">
                  <c:v>60.281619042016544</c:v>
                </c:pt>
                <c:pt idx="2">
                  <c:v>105.2580533546882</c:v>
                </c:pt>
                <c:pt idx="3">
                  <c:v>162.52919137514681</c:v>
                </c:pt>
                <c:pt idx="4">
                  <c:v>210.31375404732603</c:v>
                </c:pt>
                <c:pt idx="5">
                  <c:v>259.59449353451407</c:v>
                </c:pt>
                <c:pt idx="6">
                  <c:v>307.43668303913057</c:v>
                </c:pt>
                <c:pt idx="7">
                  <c:v>369.82267380939049</c:v>
                </c:pt>
                <c:pt idx="8">
                  <c:v>415.41831777235154</c:v>
                </c:pt>
                <c:pt idx="9">
                  <c:v>462.64524725663728</c:v>
                </c:pt>
                <c:pt idx="10">
                  <c:v>515.36791085048742</c:v>
                </c:pt>
                <c:pt idx="11">
                  <c:v>565.57947372537251</c:v>
                </c:pt>
                <c:pt idx="12">
                  <c:v>619.09339875926935</c:v>
                </c:pt>
                <c:pt idx="13">
                  <c:v>678.80835432356696</c:v>
                </c:pt>
              </c:numCache>
            </c:numRef>
          </c:xVal>
          <c:yVal>
            <c:numRef>
              <c:f>'Laskenta poistopuoli'!$F$10:$F$23</c:f>
              <c:numCache>
                <c:formatCode>0.0</c:formatCode>
                <c:ptCount val="14"/>
                <c:pt idx="0">
                  <c:v>179.37846745490154</c:v>
                </c:pt>
                <c:pt idx="1">
                  <c:v>179.30218403072695</c:v>
                </c:pt>
                <c:pt idx="2">
                  <c:v>179.34829163661547</c:v>
                </c:pt>
                <c:pt idx="3">
                  <c:v>178.90675306664863</c:v>
                </c:pt>
                <c:pt idx="4">
                  <c:v>179.11119908675653</c:v>
                </c:pt>
                <c:pt idx="5">
                  <c:v>178.9824946385196</c:v>
                </c:pt>
                <c:pt idx="6">
                  <c:v>178.29847281220702</c:v>
                </c:pt>
                <c:pt idx="7">
                  <c:v>178.67422167686715</c:v>
                </c:pt>
                <c:pt idx="8">
                  <c:v>178.63975058423719</c:v>
                </c:pt>
                <c:pt idx="9">
                  <c:v>178.38235986514044</c:v>
                </c:pt>
                <c:pt idx="10">
                  <c:v>178.82808598794225</c:v>
                </c:pt>
                <c:pt idx="11">
                  <c:v>179.68336971676914</c:v>
                </c:pt>
                <c:pt idx="12">
                  <c:v>179.65908444656515</c:v>
                </c:pt>
                <c:pt idx="13">
                  <c:v>179.56680496330497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764B-46AB-8D1D-C10B67BE9293}"/>
            </c:ext>
          </c:extLst>
        </c:ser>
        <c:ser>
          <c:idx val="8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trendline>
            <c:spPr>
              <a:ln w="12700" cap="rnd">
                <a:solidFill>
                  <a:schemeClr val="tx2"/>
                </a:solidFill>
                <a:prstDash val="sysDash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50767897547289342"/>
                  <c:y val="1.2041429603908207E-2"/>
                </c:manualLayout>
              </c:layout>
              <c:numFmt formatCode="General" sourceLinked="0"/>
              <c:spPr>
                <a:noFill/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poistopuoli'!$M$96:$M$98</c:f>
              <c:numCache>
                <c:formatCode>0.0</c:formatCode>
                <c:ptCount val="3"/>
                <c:pt idx="0">
                  <c:v>116.40280971088502</c:v>
                </c:pt>
                <c:pt idx="1">
                  <c:v>61.191616598664631</c:v>
                </c:pt>
                <c:pt idx="2">
                  <c:v>24.469854451905775</c:v>
                </c:pt>
              </c:numCache>
            </c:numRef>
          </c:xVal>
          <c:yVal>
            <c:numRef>
              <c:f>'Laskenta poistopuoli'!$N$96:$N$98</c:f>
              <c:numCache>
                <c:formatCode>0.00</c:formatCode>
                <c:ptCount val="3"/>
                <c:pt idx="0">
                  <c:v>117.1913362344403</c:v>
                </c:pt>
                <c:pt idx="1">
                  <c:v>53.690391060875442</c:v>
                </c:pt>
                <c:pt idx="2">
                  <c:v>20.493416893081253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764B-46AB-8D1D-C10B67BE9293}"/>
            </c:ext>
          </c:extLst>
        </c:ser>
        <c:ser>
          <c:idx val="9"/>
          <c:order val="8"/>
          <c:tx>
            <c:v>8-10V mitoitusVK</c:v>
          </c:tx>
          <c:spPr>
            <a:ln w="127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xVal>
            <c:numRef>
              <c:f>'Laskenta poistopuoli'!$M$95:$M$96</c:f>
              <c:numCache>
                <c:formatCode>0.0</c:formatCode>
                <c:ptCount val="2"/>
                <c:pt idx="0">
                  <c:v>160.66928833395357</c:v>
                </c:pt>
                <c:pt idx="1">
                  <c:v>116.40280971088502</c:v>
                </c:pt>
              </c:numCache>
            </c:numRef>
          </c:xVal>
          <c:yVal>
            <c:numRef>
              <c:f>'Laskenta poistopuoli'!$N$95:$N$96</c:f>
              <c:numCache>
                <c:formatCode>0.00</c:formatCode>
                <c:ptCount val="2"/>
                <c:pt idx="0">
                  <c:v>178.89802317525604</c:v>
                </c:pt>
                <c:pt idx="1">
                  <c:v>117.1913362344403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764B-46AB-8D1D-C10B67BE9293}"/>
            </c:ext>
          </c:extLst>
        </c:ser>
        <c:ser>
          <c:idx val="4"/>
          <c:order val="9"/>
          <c:tx>
            <c:v>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51233003284618672"/>
                  <c:y val="-1.700980018358802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poistopuoli'!$C$68:$C$70</c:f>
              <c:numCache>
                <c:formatCode>0.0</c:formatCode>
                <c:ptCount val="3"/>
                <c:pt idx="0" formatCode="0.00">
                  <c:v>3.4550645519492855</c:v>
                </c:pt>
                <c:pt idx="1">
                  <c:v>13.917879170317992</c:v>
                </c:pt>
                <c:pt idx="2">
                  <c:v>26.66507575008681</c:v>
                </c:pt>
              </c:numCache>
            </c:numRef>
          </c:xVal>
          <c:yVal>
            <c:numRef>
              <c:f>'Laskenta poistopuoli'!$F$68:$F$70</c:f>
              <c:numCache>
                <c:formatCode>0.0</c:formatCode>
                <c:ptCount val="3"/>
                <c:pt idx="0">
                  <c:v>6.651515696141419</c:v>
                </c:pt>
                <c:pt idx="1">
                  <c:v>6.5186490794429863</c:v>
                </c:pt>
                <c:pt idx="2">
                  <c:v>6.5132213624637822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BFA-4807-897C-4620D3B10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38512"/>
        <c:axId val="91433520"/>
      </c:scatterChart>
      <c:valAx>
        <c:axId val="91438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Paine-ero PfD [Pa]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91433520"/>
        <c:crosses val="autoZero"/>
        <c:crossBetween val="midCat"/>
      </c:valAx>
      <c:valAx>
        <c:axId val="9143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Sähköteho [W]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91438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Teho vs. ohjausjännite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>
        <c:manualLayout>
          <c:layoutTarget val="inner"/>
          <c:xMode val="edge"/>
          <c:yMode val="edge"/>
          <c:x val="0.14869203849518808"/>
          <c:y val="0.13930555555555557"/>
          <c:w val="0.81997462817147859"/>
          <c:h val="0.63755431612715063"/>
        </c:manualLayout>
      </c:layout>
      <c:scatterChart>
        <c:scatterStyle val="lineMarker"/>
        <c:varyColors val="0"/>
        <c:ser>
          <c:idx val="0"/>
          <c:order val="0"/>
          <c:tx>
            <c:strRef>
              <c:f>'Laskenta poistopuoli'!$I$105</c:f>
              <c:strCache>
                <c:ptCount val="1"/>
                <c:pt idx="0">
                  <c:v>0–8 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3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poistopuoli'!$I$96:$I$98</c:f>
              <c:numCache>
                <c:formatCode>General</c:formatCode>
                <c:ptCount val="3"/>
                <c:pt idx="0">
                  <c:v>8</c:v>
                </c:pt>
                <c:pt idx="1">
                  <c:v>6</c:v>
                </c:pt>
                <c:pt idx="2">
                  <c:v>4</c:v>
                </c:pt>
              </c:numCache>
            </c:numRef>
          </c:xVal>
          <c:yVal>
            <c:numRef>
              <c:f>'Laskenta poistopuoli'!$N$96:$N$98</c:f>
              <c:numCache>
                <c:formatCode>0.00</c:formatCode>
                <c:ptCount val="3"/>
                <c:pt idx="0">
                  <c:v>117.1913362344403</c:v>
                </c:pt>
                <c:pt idx="1">
                  <c:v>53.690391060875442</c:v>
                </c:pt>
                <c:pt idx="2">
                  <c:v>20.493416893081253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3DA-47B8-8A06-FCF3F565C00F}"/>
            </c:ext>
          </c:extLst>
        </c:ser>
        <c:ser>
          <c:idx val="1"/>
          <c:order val="1"/>
          <c:tx>
            <c:strRef>
              <c:f>'Laskenta poistopuoli'!$I$106</c:f>
              <c:strCache>
                <c:ptCount val="1"/>
                <c:pt idx="0">
                  <c:v>8–10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'Laskenta poistopuoli'!$I$95:$I$96</c:f>
              <c:numCache>
                <c:formatCode>General</c:formatCode>
                <c:ptCount val="2"/>
                <c:pt idx="0">
                  <c:v>10</c:v>
                </c:pt>
                <c:pt idx="1">
                  <c:v>8</c:v>
                </c:pt>
              </c:numCache>
            </c:numRef>
          </c:xVal>
          <c:yVal>
            <c:numRef>
              <c:f>'Laskenta poistopuoli'!$N$95:$N$96</c:f>
              <c:numCache>
                <c:formatCode>0.00</c:formatCode>
                <c:ptCount val="2"/>
                <c:pt idx="0">
                  <c:v>178.89802317525604</c:v>
                </c:pt>
                <c:pt idx="1">
                  <c:v>117.1913362344403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3DA-47B8-8A06-FCF3F565C00F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poistopuoli'!$N$64</c:f>
              <c:numCache>
                <c:formatCode>0.00" V"</c:formatCode>
                <c:ptCount val="1"/>
                <c:pt idx="0">
                  <c:v>5.4547727511868134</c:v>
                </c:pt>
              </c:numCache>
            </c:numRef>
          </c:xVal>
          <c:yVal>
            <c:numRef>
              <c:f>'Laskenta poistopuoli'!$J$117</c:f>
              <c:numCache>
                <c:formatCode>0.0</c:formatCode>
                <c:ptCount val="1"/>
                <c:pt idx="0">
                  <c:v>42.772607881119079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3DA-47B8-8A06-FCF3F565C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05440"/>
        <c:axId val="101688384"/>
      </c:scatterChart>
      <c:valAx>
        <c:axId val="10170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Ohjausjännite [V]</a:t>
                </a:r>
              </a:p>
            </c:rich>
          </c:tx>
          <c:layout>
            <c:manualLayout>
              <c:xMode val="edge"/>
              <c:yMode val="edge"/>
              <c:x val="0.45506124234470685"/>
              <c:y val="0.827785797608632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1688384"/>
        <c:crosses val="autoZero"/>
        <c:crossBetween val="midCat"/>
      </c:valAx>
      <c:valAx>
        <c:axId val="101688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Teho [W]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1705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Painehäviön erotus 2.5 vs 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8687840500068404"/>
                  <c:y val="-4.2432914303672172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poistopuoli'!$B$80:$B$84</c:f>
              <c:numCache>
                <c:formatCode>General</c:formatCode>
                <c:ptCount val="5"/>
                <c:pt idx="0">
                  <c:v>40</c:v>
                </c:pt>
                <c:pt idx="1">
                  <c:v>160</c:v>
                </c:pt>
                <c:pt idx="2">
                  <c:v>240</c:v>
                </c:pt>
                <c:pt idx="3">
                  <c:v>300</c:v>
                </c:pt>
                <c:pt idx="4">
                  <c:v>350</c:v>
                </c:pt>
              </c:numCache>
            </c:numRef>
          </c:xVal>
          <c:yVal>
            <c:numRef>
              <c:f>'Laskenta poistopuoli'!$E$80:$E$84</c:f>
              <c:numCache>
                <c:formatCode>0.0</c:formatCode>
                <c:ptCount val="5"/>
                <c:pt idx="0">
                  <c:v>0</c:v>
                </c:pt>
                <c:pt idx="1">
                  <c:v>3.7999999999999972</c:v>
                </c:pt>
                <c:pt idx="2">
                  <c:v>14.299999999999997</c:v>
                </c:pt>
                <c:pt idx="3">
                  <c:v>13</c:v>
                </c:pt>
                <c:pt idx="4">
                  <c:v>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2E9-44A6-8B2F-50BA4B178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3628031"/>
        <c:axId val="813621791"/>
      </c:scatterChart>
      <c:valAx>
        <c:axId val="8136280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13621791"/>
        <c:crosses val="autoZero"/>
        <c:crossBetween val="midCat"/>
      </c:valAx>
      <c:valAx>
        <c:axId val="81362179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8136280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Poistopuoli</a:t>
            </a:r>
            <a:br>
              <a:rPr lang="fi-FI"/>
            </a:br>
            <a:r>
              <a:rPr lang="fi-FI" sz="1000"/>
              <a:t>Mittaustulokset ja sovitteet</a:t>
            </a:r>
            <a:endParaRPr lang="fi-FI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'Laskenta poistopuoli_W'!$C$8</c:f>
              <c:strCache>
                <c:ptCount val="1"/>
                <c:pt idx="0">
                  <c:v>Poisto 10 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poistopuoli_W'!$C$10:$C$21</c:f>
              <c:numCache>
                <c:formatCode>0.00</c:formatCode>
                <c:ptCount val="12"/>
                <c:pt idx="0">
                  <c:v>134.81056073716101</c:v>
                </c:pt>
                <c:pt idx="1">
                  <c:v>125.93196939665663</c:v>
                </c:pt>
                <c:pt idx="2">
                  <c:v>120.72635150889738</c:v>
                </c:pt>
                <c:pt idx="3">
                  <c:v>115.54056288154985</c:v>
                </c:pt>
                <c:pt idx="4">
                  <c:v>109.0487113247069</c:v>
                </c:pt>
                <c:pt idx="5">
                  <c:v>99.307102192884216</c:v>
                </c:pt>
                <c:pt idx="6">
                  <c:v>88.260192216411454</c:v>
                </c:pt>
                <c:pt idx="7">
                  <c:v>72.164255339383146</c:v>
                </c:pt>
                <c:pt idx="8">
                  <c:v>56.992237273639972</c:v>
                </c:pt>
                <c:pt idx="9">
                  <c:v>44.63584154824931</c:v>
                </c:pt>
                <c:pt idx="10">
                  <c:v>31.758748067784438</c:v>
                </c:pt>
                <c:pt idx="11">
                  <c:v>11.919642769408068</c:v>
                </c:pt>
              </c:numCache>
            </c:numRef>
          </c:xVal>
          <c:yVal>
            <c:numRef>
              <c:f>'Laskenta poistopuoli_W'!$D$10:$D$21</c:f>
              <c:numCache>
                <c:formatCode>0.0</c:formatCode>
                <c:ptCount val="12"/>
                <c:pt idx="0">
                  <c:v>12.794884605111477</c:v>
                </c:pt>
                <c:pt idx="1">
                  <c:v>54.692050835468805</c:v>
                </c:pt>
                <c:pt idx="2">
                  <c:v>104.34823402086612</c:v>
                </c:pt>
                <c:pt idx="3">
                  <c:v>157.59765311046255</c:v>
                </c:pt>
                <c:pt idx="4">
                  <c:v>209.02383185338846</c:v>
                </c:pt>
                <c:pt idx="5">
                  <c:v>254.91463885671212</c:v>
                </c:pt>
                <c:pt idx="6">
                  <c:v>298.84514412218613</c:v>
                </c:pt>
                <c:pt idx="7">
                  <c:v>349.68387922121008</c:v>
                </c:pt>
                <c:pt idx="8">
                  <c:v>400.31554032623444</c:v>
                </c:pt>
                <c:pt idx="9">
                  <c:v>455.79561191526193</c:v>
                </c:pt>
                <c:pt idx="10">
                  <c:v>498.57576659000449</c:v>
                </c:pt>
                <c:pt idx="11">
                  <c:v>539.51380616799418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700-4BEB-833E-EACE7FA72A7B}"/>
            </c:ext>
          </c:extLst>
        </c:ser>
        <c:ser>
          <c:idx val="1"/>
          <c:order val="1"/>
          <c:tx>
            <c:strRef>
              <c:f>'Laskenta poistopuoli_W'!$C$23</c:f>
              <c:strCache>
                <c:ptCount val="1"/>
                <c:pt idx="0">
                  <c:v>Poisto 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poistopuoli_W'!$C$25:$C$34</c:f>
              <c:numCache>
                <c:formatCode>0.00</c:formatCode>
                <c:ptCount val="10"/>
                <c:pt idx="0">
                  <c:v>129.68035832255484</c:v>
                </c:pt>
                <c:pt idx="1">
                  <c:v>123.22104420982375</c:v>
                </c:pt>
                <c:pt idx="2">
                  <c:v>116.1013219993694</c:v>
                </c:pt>
                <c:pt idx="3">
                  <c:v>107.98266688561468</c:v>
                </c:pt>
                <c:pt idx="4">
                  <c:v>98.255539492614972</c:v>
                </c:pt>
                <c:pt idx="5">
                  <c:v>85.997883195410296</c:v>
                </c:pt>
                <c:pt idx="6">
                  <c:v>69.473491112425279</c:v>
                </c:pt>
                <c:pt idx="7">
                  <c:v>50.409265130725586</c:v>
                </c:pt>
                <c:pt idx="8">
                  <c:v>37.218220807116936</c:v>
                </c:pt>
                <c:pt idx="9">
                  <c:v>18.772037713731756</c:v>
                </c:pt>
              </c:numCache>
            </c:numRef>
          </c:xVal>
          <c:yVal>
            <c:numRef>
              <c:f>'Laskenta poistopuoli_W'!$D$25:$D$34</c:f>
              <c:numCache>
                <c:formatCode>0.0</c:formatCode>
                <c:ptCount val="10"/>
                <c:pt idx="0">
                  <c:v>9.5153864882562011</c:v>
                </c:pt>
                <c:pt idx="1">
                  <c:v>55.555001598839318</c:v>
                </c:pt>
                <c:pt idx="2">
                  <c:v>104.61709906595799</c:v>
                </c:pt>
                <c:pt idx="3">
                  <c:v>155.570914532318</c:v>
                </c:pt>
                <c:pt idx="4">
                  <c:v>205.69574873068683</c:v>
                </c:pt>
                <c:pt idx="5">
                  <c:v>252.19469369010244</c:v>
                </c:pt>
                <c:pt idx="6">
                  <c:v>308.06543602697673</c:v>
                </c:pt>
                <c:pt idx="7">
                  <c:v>345.4044160274903</c:v>
                </c:pt>
                <c:pt idx="8">
                  <c:v>400.32032352770807</c:v>
                </c:pt>
                <c:pt idx="9">
                  <c:v>445.13213348370743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700-4BEB-833E-EACE7FA72A7B}"/>
            </c:ext>
          </c:extLst>
        </c:ser>
        <c:ser>
          <c:idx val="3"/>
          <c:order val="2"/>
          <c:tx>
            <c:strRef>
              <c:f>'Laskenta poistopuoli_W'!$C$36</c:f>
              <c:strCache>
                <c:ptCount val="1"/>
                <c:pt idx="0">
                  <c:v>Poisto 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poistopuoli_W'!$C$38:$C$45</c:f>
              <c:numCache>
                <c:formatCode>0.00</c:formatCode>
                <c:ptCount val="8"/>
                <c:pt idx="0">
                  <c:v>96.737715035685184</c:v>
                </c:pt>
                <c:pt idx="1">
                  <c:v>91.707389776191292</c:v>
                </c:pt>
                <c:pt idx="2">
                  <c:v>84.17554208514953</c:v>
                </c:pt>
                <c:pt idx="3">
                  <c:v>74.867345421641474</c:v>
                </c:pt>
                <c:pt idx="4">
                  <c:v>61.927152896059475</c:v>
                </c:pt>
                <c:pt idx="5">
                  <c:v>45.661770987504838</c:v>
                </c:pt>
                <c:pt idx="6">
                  <c:v>31.097024338328744</c:v>
                </c:pt>
                <c:pt idx="7">
                  <c:v>13.409746247332366</c:v>
                </c:pt>
              </c:numCache>
            </c:numRef>
          </c:xVal>
          <c:yVal>
            <c:numRef>
              <c:f>'Laskenta poistopuoli_W'!$D$38:$D$45</c:f>
              <c:numCache>
                <c:formatCode>0.0</c:formatCode>
                <c:ptCount val="8"/>
                <c:pt idx="0">
                  <c:v>12.325798467934597</c:v>
                </c:pt>
                <c:pt idx="1">
                  <c:v>37.477889157505558</c:v>
                </c:pt>
                <c:pt idx="2">
                  <c:v>73.241859629517933</c:v>
                </c:pt>
                <c:pt idx="3">
                  <c:v>107.05477890147286</c:v>
                </c:pt>
                <c:pt idx="4">
                  <c:v>140.35742367028496</c:v>
                </c:pt>
                <c:pt idx="5">
                  <c:v>178.06502836546915</c:v>
                </c:pt>
                <c:pt idx="6">
                  <c:v>210.98729998106421</c:v>
                </c:pt>
                <c:pt idx="7">
                  <c:v>242.37003903961963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700-4BEB-833E-EACE7FA72A7B}"/>
            </c:ext>
          </c:extLst>
        </c:ser>
        <c:ser>
          <c:idx val="5"/>
          <c:order val="3"/>
          <c:tx>
            <c:strRef>
              <c:f>'Laskenta poistopuoli_W'!$C$48</c:f>
              <c:strCache>
                <c:ptCount val="1"/>
                <c:pt idx="0">
                  <c:v>Poisto 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6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poistopuoli_W'!$C$50:$C$55</c:f>
              <c:numCache>
                <c:formatCode>0.00</c:formatCode>
                <c:ptCount val="6"/>
                <c:pt idx="0">
                  <c:v>62.49389282333189</c:v>
                </c:pt>
                <c:pt idx="1">
                  <c:v>57.097449384090197</c:v>
                </c:pt>
                <c:pt idx="2">
                  <c:v>49.44028991322643</c:v>
                </c:pt>
                <c:pt idx="3">
                  <c:v>38.081170762873022</c:v>
                </c:pt>
                <c:pt idx="4">
                  <c:v>25.420232875638565</c:v>
                </c:pt>
                <c:pt idx="5">
                  <c:v>12.529225640542576</c:v>
                </c:pt>
              </c:numCache>
            </c:numRef>
          </c:xVal>
          <c:yVal>
            <c:numRef>
              <c:f>'Laskenta poistopuoli_W'!$D$50:$D$55</c:f>
              <c:numCache>
                <c:formatCode>0.0</c:formatCode>
                <c:ptCount val="6"/>
                <c:pt idx="0">
                  <c:v>4.1632350634522295</c:v>
                </c:pt>
                <c:pt idx="1">
                  <c:v>20.952781312640656</c:v>
                </c:pt>
                <c:pt idx="2">
                  <c:v>41.05426392515708</c:v>
                </c:pt>
                <c:pt idx="3">
                  <c:v>60.227763958563088</c:v>
                </c:pt>
                <c:pt idx="4">
                  <c:v>80.344286597624119</c:v>
                </c:pt>
                <c:pt idx="5">
                  <c:v>98.982785363303719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D700-4BEB-833E-EACE7FA72A7B}"/>
            </c:ext>
          </c:extLst>
        </c:ser>
        <c:ser>
          <c:idx val="2"/>
          <c:order val="4"/>
          <c:tx>
            <c:v>Poisto 2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poistopuoli_W'!$C$60:$C$63</c:f>
              <c:numCache>
                <c:formatCode>0.00</c:formatCode>
                <c:ptCount val="4"/>
                <c:pt idx="0">
                  <c:v>18.247787529206494</c:v>
                </c:pt>
                <c:pt idx="1">
                  <c:v>13.150250569125145</c:v>
                </c:pt>
                <c:pt idx="2">
                  <c:v>9.0611399740344343</c:v>
                </c:pt>
                <c:pt idx="3">
                  <c:v>4.5965747636739067</c:v>
                </c:pt>
              </c:numCache>
            </c:numRef>
          </c:xVal>
          <c:yVal>
            <c:numRef>
              <c:f>'Laskenta poistopuoli_W'!$D$60:$D$63</c:f>
              <c:numCache>
                <c:formatCode>0.0</c:formatCode>
                <c:ptCount val="4"/>
                <c:pt idx="0">
                  <c:v>4.1116662381464115</c:v>
                </c:pt>
                <c:pt idx="1">
                  <c:v>9.6866677426812604</c:v>
                </c:pt>
                <c:pt idx="2">
                  <c:v>14.861566772660328</c:v>
                </c:pt>
                <c:pt idx="3">
                  <c:v>19.910741525302992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80AF-49E3-BFF0-CE50A9B4EF07}"/>
            </c:ext>
          </c:extLst>
        </c:ser>
        <c:ser>
          <c:idx val="7"/>
          <c:order val="5"/>
          <c:tx>
            <c:v>Mitoituspisteen verkkokäyrä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2700" cap="rnd">
                <a:solidFill>
                  <a:schemeClr val="tx1"/>
                </a:solidFill>
                <a:prstDash val="dash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0.11239908736898084"/>
                  <c:y val="-3.936718813232046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poistopuoli_W'!$O$39:$O$45</c:f>
              <c:numCache>
                <c:formatCode>0.00</c:formatCode>
                <c:ptCount val="7"/>
                <c:pt idx="0">
                  <c:v>121.76764462002743</c:v>
                </c:pt>
                <c:pt idx="1">
                  <c:v>116.82329677817015</c:v>
                </c:pt>
                <c:pt idx="2">
                  <c:v>87.635360321480348</c:v>
                </c:pt>
                <c:pt idx="3">
                  <c:v>56.158289155901365</c:v>
                </c:pt>
                <c:pt idx="4">
                  <c:v>19.467894010671628</c:v>
                </c:pt>
              </c:numCache>
            </c:numRef>
          </c:xVal>
          <c:yVal>
            <c:numRef>
              <c:f>'Laskenta poistopuoli_W'!$P$39:$P$45</c:f>
              <c:numCache>
                <c:formatCode>0.0</c:formatCode>
                <c:ptCount val="7"/>
                <c:pt idx="0">
                  <c:v>105.06915586953866</c:v>
                </c:pt>
                <c:pt idx="1">
                  <c:v>96.709769487814768</c:v>
                </c:pt>
                <c:pt idx="2">
                  <c:v>54.421459599459276</c:v>
                </c:pt>
                <c:pt idx="3">
                  <c:v>22.348026083601397</c:v>
                </c:pt>
                <c:pt idx="4">
                  <c:v>2.6856497818221676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D700-4BEB-833E-EACE7FA72A7B}"/>
            </c:ext>
          </c:extLst>
        </c:ser>
        <c:ser>
          <c:idx val="8"/>
          <c:order val="6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rgbClr val="FF0000"/>
              </a:solidFill>
              <a:ln w="9525">
                <a:solidFill>
                  <a:srgbClr val="600000"/>
                </a:solidFill>
              </a:ln>
              <a:effectLst/>
            </c:spPr>
          </c:marker>
          <c:xVal>
            <c:numRef>
              <c:f>'Laskenta poistopuoli_W'!$I$20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'Laskenta poistopuoli_W'!$I$21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D700-4BEB-833E-EACE7FA72A7B}"/>
            </c:ext>
          </c:extLst>
        </c:ser>
        <c:ser>
          <c:idx val="9"/>
          <c:order val="7"/>
          <c:tx>
            <c:v>Yläraja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4">
                    <a:lumMod val="60000"/>
                  </a:schemeClr>
                </a:solidFill>
                <a:prstDash val="sysDot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5.2891388900221672E-2"/>
                  <c:y val="-1.726147867880149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poistopuoli_W'!$I$66:$I$69</c:f>
              <c:numCache>
                <c:formatCode>0.0</c:formatCode>
                <c:ptCount val="4"/>
                <c:pt idx="0">
                  <c:v>5</c:v>
                </c:pt>
                <c:pt idx="1">
                  <c:v>11.666666666666666</c:v>
                </c:pt>
                <c:pt idx="2">
                  <c:v>18.333333333333332</c:v>
                </c:pt>
                <c:pt idx="3">
                  <c:v>25</c:v>
                </c:pt>
              </c:numCache>
            </c:numRef>
          </c:xVal>
          <c:yVal>
            <c:numRef>
              <c:f>'Laskenta poistopuoli_W'!$J$66:$J$69</c:f>
              <c:numCache>
                <c:formatCode>0.0</c:formatCode>
                <c:ptCount val="4"/>
                <c:pt idx="0">
                  <c:v>21.2</c:v>
                </c:pt>
                <c:pt idx="1">
                  <c:v>115.4222222222222</c:v>
                </c:pt>
                <c:pt idx="2">
                  <c:v>285.02222222222218</c:v>
                </c:pt>
                <c:pt idx="3">
                  <c:v>530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D700-4BEB-833E-EACE7FA72A7B}"/>
            </c:ext>
          </c:extLst>
        </c:ser>
        <c:ser>
          <c:idx val="10"/>
          <c:order val="8"/>
          <c:tx>
            <c:v>Alaraja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5">
                    <a:lumMod val="60000"/>
                  </a:schemeClr>
                </a:solidFill>
                <a:prstDash val="sysDot"/>
              </a:ln>
              <a:effectLst/>
            </c:spPr>
            <c:trendlineType val="power"/>
            <c:forward val="24"/>
            <c:dispRSqr val="0"/>
            <c:dispEq val="1"/>
            <c:trendlineLbl>
              <c:layout>
                <c:manualLayout>
                  <c:x val="0.12284654508859967"/>
                  <c:y val="-1.314183813147758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poistopuoli_W'!$N$66:$N$69</c:f>
              <c:numCache>
                <c:formatCode>0.0</c:formatCode>
                <c:ptCount val="4"/>
                <c:pt idx="0">
                  <c:v>5</c:v>
                </c:pt>
                <c:pt idx="1">
                  <c:v>38.333333333333336</c:v>
                </c:pt>
                <c:pt idx="2">
                  <c:v>71.666666666666671</c:v>
                </c:pt>
                <c:pt idx="3">
                  <c:v>105</c:v>
                </c:pt>
              </c:numCache>
            </c:numRef>
          </c:xVal>
          <c:yVal>
            <c:numRef>
              <c:f>'Laskenta poistopuoli_W'!$O$66:$O$69</c:f>
              <c:numCache>
                <c:formatCode>0.0</c:formatCode>
                <c:ptCount val="4"/>
                <c:pt idx="0">
                  <c:v>9.0702947845804988E-2</c:v>
                </c:pt>
                <c:pt idx="1">
                  <c:v>5.3313177122700939</c:v>
                </c:pt>
                <c:pt idx="2">
                  <c:v>18.634416729654831</c:v>
                </c:pt>
                <c:pt idx="3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D700-4BEB-833E-EACE7FA72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6172112"/>
        <c:axId val="1886172528"/>
      </c:scatterChart>
      <c:valAx>
        <c:axId val="1886172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86172528"/>
        <c:crosses val="autoZero"/>
        <c:crossBetween val="midCat"/>
      </c:valAx>
      <c:valAx>
        <c:axId val="188617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Paine-ero  P</a:t>
                </a:r>
                <a:r>
                  <a:rPr lang="fi-FI" baseline="-25000"/>
                  <a:t>fD</a:t>
                </a:r>
                <a:r>
                  <a:rPr lang="fi-FI"/>
                  <a:t> [Pa]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886172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050"/>
              <a:t>Ohjausjännitteet ja tilavuusvirrat mitoituspisteen</a:t>
            </a:r>
            <a:r>
              <a:rPr lang="fi-FI" sz="1050" baseline="0"/>
              <a:t> verkkokäyrällä</a:t>
            </a:r>
            <a:endParaRPr lang="fi-FI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Kaikki</c:v>
          </c:tx>
          <c:spPr>
            <a:ln w="19050" cap="rnd">
              <a:noFill/>
              <a:prstDash val="sysDot"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poistopuoli_W'!$I$39:$I$45</c:f>
              <c:numCache>
                <c:formatCode>General</c:formatCode>
                <c:ptCount val="7"/>
                <c:pt idx="0">
                  <c:v>10</c:v>
                </c:pt>
                <c:pt idx="1">
                  <c:v>8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</c:numCache>
            </c:numRef>
          </c:xVal>
          <c:yVal>
            <c:numRef>
              <c:f>'Laskenta poistopuoli_W'!$O$39:$O$45</c:f>
              <c:numCache>
                <c:formatCode>0.00</c:formatCode>
                <c:ptCount val="7"/>
                <c:pt idx="0">
                  <c:v>121.76764462002743</c:v>
                </c:pt>
                <c:pt idx="1">
                  <c:v>116.82329677817015</c:v>
                </c:pt>
                <c:pt idx="2">
                  <c:v>87.635360321480348</c:v>
                </c:pt>
                <c:pt idx="3">
                  <c:v>56.158289155901365</c:v>
                </c:pt>
                <c:pt idx="4">
                  <c:v>19.467894010671628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896-49B6-9764-4FD2726B09C5}"/>
            </c:ext>
          </c:extLst>
        </c:ser>
        <c:ser>
          <c:idx val="1"/>
          <c:order val="1"/>
          <c:tx>
            <c:strRef>
              <c:f>'Laskenta poistopuoli_W'!$I$54</c:f>
              <c:strCache>
                <c:ptCount val="1"/>
                <c:pt idx="0">
                  <c:v>0–8 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545756780402449"/>
                  <c:y val="7.027777777777777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poistopuoli_W'!$I$40:$I$43</c:f>
              <c:numCache>
                <c:formatCode>General</c:formatCode>
                <c:ptCount val="4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2</c:v>
                </c:pt>
              </c:numCache>
            </c:numRef>
          </c:xVal>
          <c:yVal>
            <c:numRef>
              <c:f>'Laskenta poistopuoli_W'!$O$40:$O$43</c:f>
              <c:numCache>
                <c:formatCode>0.00</c:formatCode>
                <c:ptCount val="4"/>
                <c:pt idx="0">
                  <c:v>116.82329677817015</c:v>
                </c:pt>
                <c:pt idx="1">
                  <c:v>87.635360321480348</c:v>
                </c:pt>
                <c:pt idx="2">
                  <c:v>56.158289155901365</c:v>
                </c:pt>
                <c:pt idx="3">
                  <c:v>19.467894010671628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896-49B6-9764-4FD2726B09C5}"/>
            </c:ext>
          </c:extLst>
        </c:ser>
        <c:ser>
          <c:idx val="2"/>
          <c:order val="2"/>
          <c:tx>
            <c:strRef>
              <c:f>'Laskenta poistopuoli_W'!$I$55</c:f>
              <c:strCache>
                <c:ptCount val="1"/>
                <c:pt idx="0">
                  <c:v>8–10 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7340769903762027E-2"/>
                  <c:y val="-5.881525226013414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poistopuoli_W'!$I$39:$I$40</c:f>
              <c:numCache>
                <c:formatCode>General</c:formatCode>
                <c:ptCount val="2"/>
                <c:pt idx="0">
                  <c:v>10</c:v>
                </c:pt>
                <c:pt idx="1">
                  <c:v>8</c:v>
                </c:pt>
              </c:numCache>
            </c:numRef>
          </c:xVal>
          <c:yVal>
            <c:numRef>
              <c:f>'Laskenta poistopuoli_W'!$O$39:$O$40</c:f>
              <c:numCache>
                <c:formatCode>0.00</c:formatCode>
                <c:ptCount val="2"/>
                <c:pt idx="0">
                  <c:v>121.76764462002743</c:v>
                </c:pt>
                <c:pt idx="1">
                  <c:v>116.82329677817015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896-49B6-9764-4FD2726B09C5}"/>
            </c:ext>
          </c:extLst>
        </c:ser>
        <c:ser>
          <c:idx val="3"/>
          <c:order val="3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poistopuoli_W'!$N$55</c:f>
              <c:numCache>
                <c:formatCode>0.00" V"</c:formatCode>
                <c:ptCount val="1"/>
                <c:pt idx="0">
                  <c:v>5.8641063388135368</c:v>
                </c:pt>
              </c:numCache>
            </c:numRef>
          </c:xVal>
          <c:yVal>
            <c:numRef>
              <c:f>'Laskenta poistopuoli_W'!$I$20</c:f>
              <c:numCache>
                <c:formatCode>General</c:formatCode>
                <c:ptCount val="1"/>
                <c:pt idx="0">
                  <c:v>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896-49B6-9764-4FD2726B0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0552032"/>
        <c:axId val="1600553280"/>
      </c:scatterChart>
      <c:valAx>
        <c:axId val="1600552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Ohjausjännite [V]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600553280"/>
        <c:crosses val="autoZero"/>
        <c:crossBetween val="midCat"/>
      </c:valAx>
      <c:valAx>
        <c:axId val="160055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</a:t>
                </a:r>
                <a:r>
                  <a:rPr lang="fi-FI" baseline="0"/>
                  <a:t> [dm³/s]</a:t>
                </a:r>
                <a:endParaRPr lang="fi-FI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600552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 sz="1200"/>
              <a:t>Mitatut sähkötehot, poistopuhallin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'Laskenta poistopuoli_W'!$C$86:$C$95</c:f>
              <c:strCache>
                <c:ptCount val="10"/>
                <c:pt idx="0">
                  <c:v>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forward val="50"/>
            <c:backward val="50"/>
            <c:dispRSqr val="1"/>
            <c:dispEq val="1"/>
            <c:trendlineLbl>
              <c:layout>
                <c:manualLayout>
                  <c:x val="3.5970525769084521E-2"/>
                  <c:y val="-0.2999290199724025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poistopuoli_W'!$G$89:$G$95</c:f>
              <c:numCache>
                <c:formatCode>0.00</c:formatCode>
                <c:ptCount val="7"/>
                <c:pt idx="0">
                  <c:v>209.60958113102964</c:v>
                </c:pt>
                <c:pt idx="1">
                  <c:v>261.01990590538622</c:v>
                </c:pt>
                <c:pt idx="2">
                  <c:v>311.72372208695833</c:v>
                </c:pt>
                <c:pt idx="3">
                  <c:v>359.04955464143347</c:v>
                </c:pt>
                <c:pt idx="4">
                  <c:v>407.15443219037002</c:v>
                </c:pt>
                <c:pt idx="5">
                  <c:v>457.5092010322798</c:v>
                </c:pt>
                <c:pt idx="6">
                  <c:v>494.53555762891108</c:v>
                </c:pt>
              </c:numCache>
            </c:numRef>
          </c:xVal>
          <c:yVal>
            <c:numRef>
              <c:f>'Laskenta poistopuoli_W'!$H$89:$H$95</c:f>
              <c:numCache>
                <c:formatCode>0.0</c:formatCode>
                <c:ptCount val="7"/>
                <c:pt idx="0">
                  <c:v>118.88570482960829</c:v>
                </c:pt>
                <c:pt idx="1">
                  <c:v>110.59576007461709</c:v>
                </c:pt>
                <c:pt idx="2">
                  <c:v>100.20043357855467</c:v>
                </c:pt>
                <c:pt idx="3">
                  <c:v>91.348326357748917</c:v>
                </c:pt>
                <c:pt idx="4">
                  <c:v>80.229999302841691</c:v>
                </c:pt>
                <c:pt idx="5">
                  <c:v>71.480785291028766</c:v>
                </c:pt>
                <c:pt idx="6">
                  <c:v>63.208959447262643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53F-49C3-B664-EF13BCA7697D}"/>
            </c:ext>
          </c:extLst>
        </c:ser>
        <c:ser>
          <c:idx val="1"/>
          <c:order val="1"/>
          <c:tx>
            <c:strRef>
              <c:f>'Laskenta poistopuoli_W'!$C$96:$C$102</c:f>
              <c:strCache>
                <c:ptCount val="7"/>
                <c:pt idx="0">
                  <c:v>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forward val="50"/>
            <c:dispRSqr val="1"/>
            <c:dispEq val="1"/>
            <c:trendlineLbl>
              <c:layout>
                <c:manualLayout>
                  <c:x val="0.18546645891878355"/>
                  <c:y val="6.042625095677369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poistopuoli_W'!$G$96:$G$102</c:f>
              <c:numCache>
                <c:formatCode>0.00</c:formatCode>
                <c:ptCount val="7"/>
                <c:pt idx="0">
                  <c:v>60.77409727145379</c:v>
                </c:pt>
                <c:pt idx="1">
                  <c:v>109.14749113064435</c:v>
                </c:pt>
                <c:pt idx="2">
                  <c:v>157.53955847596404</c:v>
                </c:pt>
                <c:pt idx="3">
                  <c:v>220.02768125386061</c:v>
                </c:pt>
                <c:pt idx="4">
                  <c:v>309.16577346733834</c:v>
                </c:pt>
                <c:pt idx="5">
                  <c:v>378.55429533711975</c:v>
                </c:pt>
                <c:pt idx="6">
                  <c:v>434.19416775067538</c:v>
                </c:pt>
              </c:numCache>
            </c:numRef>
          </c:xVal>
          <c:yVal>
            <c:numRef>
              <c:f>'Laskenta poistopuoli_W'!$H$96:$H$102</c:f>
              <c:numCache>
                <c:formatCode>0.0</c:formatCode>
                <c:ptCount val="7"/>
                <c:pt idx="0">
                  <c:v>116.49497658570449</c:v>
                </c:pt>
                <c:pt idx="1">
                  <c:v>111.73880002602098</c:v>
                </c:pt>
                <c:pt idx="2">
                  <c:v>105.69797646815034</c:v>
                </c:pt>
                <c:pt idx="3">
                  <c:v>95.805006874553158</c:v>
                </c:pt>
                <c:pt idx="4">
                  <c:v>79.2260451592078</c:v>
                </c:pt>
                <c:pt idx="5">
                  <c:v>64.464373123877309</c:v>
                </c:pt>
                <c:pt idx="6">
                  <c:v>52.331100662401134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53F-49C3-B664-EF13BCA7697D}"/>
            </c:ext>
          </c:extLst>
        </c:ser>
        <c:ser>
          <c:idx val="2"/>
          <c:order val="2"/>
          <c:tx>
            <c:strRef>
              <c:f>'Laskenta poistopuoli_W'!$C$103:$C$106</c:f>
              <c:strCache>
                <c:ptCount val="4"/>
                <c:pt idx="0">
                  <c:v>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forward val="50"/>
            <c:dispRSqr val="1"/>
            <c:dispEq val="1"/>
            <c:trendlineLbl>
              <c:layout>
                <c:manualLayout>
                  <c:x val="-9.9227437559704326E-2"/>
                  <c:y val="-0.2173652107815483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poistopuoli_W'!$G$103:$G$106</c:f>
              <c:numCache>
                <c:formatCode>0.00</c:formatCode>
                <c:ptCount val="4"/>
                <c:pt idx="0">
                  <c:v>36.914935393154764</c:v>
                </c:pt>
                <c:pt idx="1">
                  <c:v>104.94515009294813</c:v>
                </c:pt>
                <c:pt idx="2">
                  <c:v>162.63315514004455</c:v>
                </c:pt>
                <c:pt idx="3">
                  <c:v>230.46423417015734</c:v>
                </c:pt>
              </c:numCache>
            </c:numRef>
          </c:xVal>
          <c:yVal>
            <c:numRef>
              <c:f>'Laskenta poistopuoli_W'!$H$103:$H$106</c:f>
              <c:numCache>
                <c:formatCode>0.0</c:formatCode>
                <c:ptCount val="4"/>
                <c:pt idx="0">
                  <c:v>52.675017387957681</c:v>
                </c:pt>
                <c:pt idx="1">
                  <c:v>45.099867657931149</c:v>
                </c:pt>
                <c:pt idx="2">
                  <c:v>34.880551523416699</c:v>
                </c:pt>
                <c:pt idx="3">
                  <c:v>23.537171802692207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B53F-49C3-B664-EF13BCA7697D}"/>
            </c:ext>
          </c:extLst>
        </c:ser>
        <c:ser>
          <c:idx val="3"/>
          <c:order val="3"/>
          <c:tx>
            <c:strRef>
              <c:f>'Laskenta poistopuoli_W'!$C$107:$C$109</c:f>
              <c:strCache>
                <c:ptCount val="3"/>
                <c:pt idx="0">
                  <c:v>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forward val="10"/>
            <c:dispRSqr val="1"/>
            <c:dispEq val="1"/>
            <c:trendlineLbl>
              <c:layout>
                <c:manualLayout>
                  <c:x val="4.920123721283956E-2"/>
                  <c:y val="-9.04775525662723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poistopuoli_W'!$G$107:$G$109</c:f>
              <c:numCache>
                <c:formatCode>0.00</c:formatCode>
                <c:ptCount val="3"/>
                <c:pt idx="0">
                  <c:v>20.823759448683241</c:v>
                </c:pt>
                <c:pt idx="1">
                  <c:v>62.373821015873894</c:v>
                </c:pt>
                <c:pt idx="2">
                  <c:v>103.51135236158503</c:v>
                </c:pt>
              </c:numCache>
            </c:numRef>
          </c:xVal>
          <c:yVal>
            <c:numRef>
              <c:f>'Laskenta poistopuoli_W'!$H$107:$H$109</c:f>
              <c:numCache>
                <c:formatCode>0.0</c:formatCode>
                <c:ptCount val="3"/>
                <c:pt idx="0">
                  <c:v>17.435744216356809</c:v>
                </c:pt>
                <c:pt idx="1">
                  <c:v>13.248960123260591</c:v>
                </c:pt>
                <c:pt idx="2">
                  <c:v>8.8964789609320967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B53F-49C3-B664-EF13BCA7697D}"/>
            </c:ext>
          </c:extLst>
        </c:ser>
        <c:ser>
          <c:idx val="4"/>
          <c:order val="4"/>
          <c:tx>
            <c:strRef>
              <c:f>'Laskenta poistopuoli_W'!$C$110:$C$111</c:f>
              <c:strCache>
                <c:ptCount val="2"/>
                <c:pt idx="0">
                  <c:v>2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0023557126030625"/>
                  <c:y val="2.029260721824504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poistopuoli_W'!$G$110:$G$111</c:f>
              <c:numCache>
                <c:formatCode>0.00</c:formatCode>
                <c:ptCount val="2"/>
                <c:pt idx="0">
                  <c:v>7.5095407300921613</c:v>
                </c:pt>
                <c:pt idx="1">
                  <c:v>20.733536273126422</c:v>
                </c:pt>
              </c:numCache>
            </c:numRef>
          </c:xVal>
          <c:yVal>
            <c:numRef>
              <c:f>'Laskenta poistopuoli_W'!$H$110:$H$111</c:f>
              <c:numCache>
                <c:formatCode>0.0</c:formatCode>
                <c:ptCount val="2"/>
                <c:pt idx="0">
                  <c:v>2.7280336680438255</c:v>
                </c:pt>
                <c:pt idx="1">
                  <c:v>2.4396666561665077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53F-49C3-B664-EF13BCA7697D}"/>
            </c:ext>
          </c:extLst>
        </c:ser>
        <c:ser>
          <c:idx val="5"/>
          <c:order val="5"/>
          <c:spPr>
            <a:ln w="127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'Laskenta poistopuoli_W'!$N$97:$N$101</c:f>
              <c:numCache>
                <c:formatCode>0.0</c:formatCode>
                <c:ptCount val="5"/>
                <c:pt idx="0">
                  <c:v>105.06915586953866</c:v>
                </c:pt>
                <c:pt idx="1">
                  <c:v>96.709769487814768</c:v>
                </c:pt>
                <c:pt idx="2">
                  <c:v>54.421459599459276</c:v>
                </c:pt>
                <c:pt idx="3">
                  <c:v>22.348026083601397</c:v>
                </c:pt>
                <c:pt idx="4">
                  <c:v>2.6856497818221676</c:v>
                </c:pt>
              </c:numCache>
            </c:numRef>
          </c:xVal>
          <c:yVal>
            <c:numRef>
              <c:f>'Laskenta poistopuoli_W'!$O$97:$O$101</c:f>
              <c:numCache>
                <c:formatCode>0.00</c:formatCode>
                <c:ptCount val="5"/>
                <c:pt idx="0">
                  <c:v>120.38100653468302</c:v>
                </c:pt>
                <c:pt idx="1">
                  <c:v>112.98628110340027</c:v>
                </c:pt>
                <c:pt idx="2">
                  <c:v>50.897091161064388</c:v>
                </c:pt>
                <c:pt idx="3">
                  <c:v>17.312880539965477</c:v>
                </c:pt>
                <c:pt idx="4">
                  <c:v>2.8332250993209933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B53F-49C3-B664-EF13BCA7697D}"/>
            </c:ext>
          </c:extLst>
        </c:ser>
        <c:ser>
          <c:idx val="6"/>
          <c:order val="6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'Laskenta poistopuoli_W'!$J$88</c:f>
              <c:numCache>
                <c:formatCode>General</c:formatCode>
                <c:ptCount val="1"/>
                <c:pt idx="0">
                  <c:v>50</c:v>
                </c:pt>
              </c:numCache>
            </c:numRef>
          </c:xVal>
          <c:yVal>
            <c:numRef>
              <c:f>'Laskenta poistopuoli_W'!$K$118</c:f>
              <c:numCache>
                <c:formatCode>0.0</c:formatCode>
                <c:ptCount val="1"/>
                <c:pt idx="0">
                  <c:v>46.669034111407186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B53F-49C3-B664-EF13BCA7697D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'Laskenta poistopuoli_W'!$G$86:$G$95</c:f>
              <c:numCache>
                <c:formatCode>0.00</c:formatCode>
                <c:ptCount val="10"/>
                <c:pt idx="0">
                  <c:v>60.519782406644936</c:v>
                </c:pt>
                <c:pt idx="1">
                  <c:v>109.49102730252912</c:v>
                </c:pt>
                <c:pt idx="2">
                  <c:v>157.96682466505754</c:v>
                </c:pt>
                <c:pt idx="3">
                  <c:v>209.60958113102964</c:v>
                </c:pt>
                <c:pt idx="4">
                  <c:v>261.01990590538622</c:v>
                </c:pt>
                <c:pt idx="5">
                  <c:v>311.72372208695833</c:v>
                </c:pt>
                <c:pt idx="6">
                  <c:v>359.04955464143347</c:v>
                </c:pt>
                <c:pt idx="7">
                  <c:v>407.15443219037002</c:v>
                </c:pt>
                <c:pt idx="8">
                  <c:v>457.5092010322798</c:v>
                </c:pt>
                <c:pt idx="9">
                  <c:v>494.53555762891108</c:v>
                </c:pt>
              </c:numCache>
            </c:numRef>
          </c:xVal>
          <c:yVal>
            <c:numRef>
              <c:f>'Laskenta poistopuoli_W'!$H$86:$H$95</c:f>
              <c:numCache>
                <c:formatCode>0.0</c:formatCode>
                <c:ptCount val="10"/>
                <c:pt idx="0">
                  <c:v>121.97386923101195</c:v>
                </c:pt>
                <c:pt idx="1">
                  <c:v>121.65271837911746</c:v>
                </c:pt>
                <c:pt idx="2">
                  <c:v>119.01173369899438</c:v>
                </c:pt>
                <c:pt idx="3">
                  <c:v>118.88570482960829</c:v>
                </c:pt>
                <c:pt idx="4">
                  <c:v>110.59576007461709</c:v>
                </c:pt>
                <c:pt idx="5">
                  <c:v>100.20043357855467</c:v>
                </c:pt>
                <c:pt idx="6">
                  <c:v>91.348326357748917</c:v>
                </c:pt>
                <c:pt idx="7">
                  <c:v>80.229999302841691</c:v>
                </c:pt>
                <c:pt idx="8">
                  <c:v>71.480785291028766</c:v>
                </c:pt>
                <c:pt idx="9">
                  <c:v>63.208959447262643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B53F-49C3-B664-EF13BCA7697D}"/>
            </c:ext>
          </c:extLst>
        </c:ser>
        <c:ser>
          <c:idx val="8"/>
          <c:order val="8"/>
          <c:tx>
            <c:v>0-8V mitoitusVK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>
                    <a:lumMod val="60000"/>
                  </a:schemeClr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6.3330643740203849E-2"/>
                  <c:y val="-4.0077760209338113E-2"/>
                </c:manualLayout>
              </c:layout>
              <c:numFmt formatCode="General" sourceLinked="0"/>
              <c:spPr>
                <a:noFill/>
                <a:ln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poistopuoli_W'!$N$98:$N$101</c:f>
              <c:numCache>
                <c:formatCode>0.0</c:formatCode>
                <c:ptCount val="4"/>
                <c:pt idx="0">
                  <c:v>96.709769487814768</c:v>
                </c:pt>
                <c:pt idx="1">
                  <c:v>54.421459599459276</c:v>
                </c:pt>
                <c:pt idx="2">
                  <c:v>22.348026083601397</c:v>
                </c:pt>
                <c:pt idx="3">
                  <c:v>2.6856497818221676</c:v>
                </c:pt>
              </c:numCache>
            </c:numRef>
          </c:xVal>
          <c:yVal>
            <c:numRef>
              <c:f>'Laskenta poistopuoli_W'!$O$98:$O$101</c:f>
              <c:numCache>
                <c:formatCode>0.00</c:formatCode>
                <c:ptCount val="4"/>
                <c:pt idx="0">
                  <c:v>112.98628110340027</c:v>
                </c:pt>
                <c:pt idx="1">
                  <c:v>50.897091161064388</c:v>
                </c:pt>
                <c:pt idx="2">
                  <c:v>17.312880539965477</c:v>
                </c:pt>
                <c:pt idx="3">
                  <c:v>2.8332250993209933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439-4842-A0EF-F7E90173FE0E}"/>
            </c:ext>
          </c:extLst>
        </c:ser>
        <c:ser>
          <c:idx val="9"/>
          <c:order val="9"/>
          <c:tx>
            <c:v>8-10V mitoitusVK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'Laskenta poistopuoli_W'!$N$97:$N$98</c:f>
              <c:numCache>
                <c:formatCode>0.0</c:formatCode>
                <c:ptCount val="2"/>
                <c:pt idx="0">
                  <c:v>105.06915586953866</c:v>
                </c:pt>
                <c:pt idx="1">
                  <c:v>96.709769487814768</c:v>
                </c:pt>
              </c:numCache>
            </c:numRef>
          </c:xVal>
          <c:yVal>
            <c:numRef>
              <c:f>'Laskenta poistopuoli_W'!$O$97:$O$98</c:f>
              <c:numCache>
                <c:formatCode>0.00</c:formatCode>
                <c:ptCount val="2"/>
                <c:pt idx="0">
                  <c:v>120.38100653468302</c:v>
                </c:pt>
                <c:pt idx="1">
                  <c:v>112.98628110340027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439-4842-A0EF-F7E90173F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38512"/>
        <c:axId val="91433520"/>
      </c:scatterChart>
      <c:valAx>
        <c:axId val="91438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Paine-ero PfD [Pa]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91433520"/>
        <c:crosses val="autoZero"/>
        <c:crossBetween val="midCat"/>
      </c:valAx>
      <c:valAx>
        <c:axId val="9143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Sähköteho [W]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91438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Teho vs. ohjausjännite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>
        <c:manualLayout>
          <c:layoutTarget val="inner"/>
          <c:xMode val="edge"/>
          <c:yMode val="edge"/>
          <c:x val="0.14869203849518808"/>
          <c:y val="0.13930555555555557"/>
          <c:w val="0.81997462817147859"/>
          <c:h val="0.63755431612715063"/>
        </c:manualLayout>
      </c:layout>
      <c:scatterChart>
        <c:scatterStyle val="lineMarker"/>
        <c:varyColors val="0"/>
        <c:ser>
          <c:idx val="0"/>
          <c:order val="0"/>
          <c:tx>
            <c:strRef>
              <c:f>'Laskenta poistopuoli_W'!$J$107</c:f>
              <c:strCache>
                <c:ptCount val="1"/>
                <c:pt idx="0">
                  <c:v>0–8 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3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poistopuoli_W'!$J$98:$J$101</c:f>
              <c:numCache>
                <c:formatCode>General</c:formatCode>
                <c:ptCount val="4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2</c:v>
                </c:pt>
              </c:numCache>
            </c:numRef>
          </c:xVal>
          <c:yVal>
            <c:numRef>
              <c:f>'Laskenta poistopuoli_W'!$O$98:$O$101</c:f>
              <c:numCache>
                <c:formatCode>0.00</c:formatCode>
                <c:ptCount val="4"/>
                <c:pt idx="0">
                  <c:v>112.98628110340027</c:v>
                </c:pt>
                <c:pt idx="1">
                  <c:v>50.897091161064388</c:v>
                </c:pt>
                <c:pt idx="2">
                  <c:v>17.312880539965477</c:v>
                </c:pt>
                <c:pt idx="3">
                  <c:v>2.8332250993209933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A1-44A2-9BB9-25D0B314066B}"/>
            </c:ext>
          </c:extLst>
        </c:ser>
        <c:ser>
          <c:idx val="1"/>
          <c:order val="1"/>
          <c:tx>
            <c:strRef>
              <c:f>'Laskenta poistopuoli_W'!$J$108</c:f>
              <c:strCache>
                <c:ptCount val="1"/>
                <c:pt idx="0">
                  <c:v>8–10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'Laskenta poistopuoli_W'!$J$97:$J$98</c:f>
              <c:numCache>
                <c:formatCode>General</c:formatCode>
                <c:ptCount val="2"/>
                <c:pt idx="0">
                  <c:v>10</c:v>
                </c:pt>
                <c:pt idx="1">
                  <c:v>8</c:v>
                </c:pt>
              </c:numCache>
            </c:numRef>
          </c:xVal>
          <c:yVal>
            <c:numRef>
              <c:f>'Laskenta poistopuoli_W'!$O$97:$O$98</c:f>
              <c:numCache>
                <c:formatCode>0.00</c:formatCode>
                <c:ptCount val="2"/>
                <c:pt idx="0">
                  <c:v>120.38100653468302</c:v>
                </c:pt>
                <c:pt idx="1">
                  <c:v>112.98628110340027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DA1-44A2-9BB9-25D0B314066B}"/>
            </c:ext>
          </c:extLst>
        </c:ser>
        <c:ser>
          <c:idx val="2"/>
          <c:order val="2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poistopuoli_W'!$J$89</c:f>
              <c:numCache>
                <c:formatCode>0.00" V"</c:formatCode>
                <c:ptCount val="1"/>
                <c:pt idx="0">
                  <c:v>5.8641063388135368</c:v>
                </c:pt>
              </c:numCache>
            </c:numRef>
          </c:xVal>
          <c:yVal>
            <c:numRef>
              <c:f>'Laskenta poistopuoli_W'!$K$118</c:f>
              <c:numCache>
                <c:formatCode>0.0</c:formatCode>
                <c:ptCount val="1"/>
                <c:pt idx="0">
                  <c:v>46.669034111407186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DA1-44A2-9BB9-25D0B3140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1705440"/>
        <c:axId val="101688384"/>
      </c:scatterChart>
      <c:valAx>
        <c:axId val="10170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Ohjausjännite [V]</a:t>
                </a:r>
              </a:p>
            </c:rich>
          </c:tx>
          <c:layout>
            <c:manualLayout>
              <c:xMode val="edge"/>
              <c:yMode val="edge"/>
              <c:x val="0.45506124234470685"/>
              <c:y val="0.827785797608632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1688384"/>
        <c:crosses val="autoZero"/>
        <c:crossBetween val="midCat"/>
      </c:valAx>
      <c:valAx>
        <c:axId val="101688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Teho [W]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01705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'Laskenta äänitehotasot'!$B$4</c:f>
          <c:strCache>
            <c:ptCount val="1"/>
            <c:pt idx="0">
              <c:v>TULOKANAVA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467003070047861"/>
                  <c:y val="-7.7845482260776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äänitehotasot'!$C$8:$C$11</c:f>
              <c:numCache>
                <c:formatCode>0.0</c:formatCode>
                <c:ptCount val="4"/>
                <c:pt idx="0">
                  <c:v>151.04411971073372</c:v>
                </c:pt>
                <c:pt idx="1">
                  <c:v>136.93812754583607</c:v>
                </c:pt>
                <c:pt idx="2">
                  <c:v>121.79570529137803</c:v>
                </c:pt>
                <c:pt idx="3">
                  <c:v>103.91330211422635</c:v>
                </c:pt>
              </c:numCache>
            </c:numRef>
          </c:xVal>
          <c:yVal>
            <c:numRef>
              <c:f>'Laskenta äänitehotasot'!$R$8:$R$11</c:f>
              <c:numCache>
                <c:formatCode>0.0</c:formatCode>
                <c:ptCount val="4"/>
                <c:pt idx="0">
                  <c:v>71.469419374689309</c:v>
                </c:pt>
                <c:pt idx="1">
                  <c:v>72.047134260522057</c:v>
                </c:pt>
                <c:pt idx="2">
                  <c:v>74.914519734190861</c:v>
                </c:pt>
                <c:pt idx="3">
                  <c:v>77.35176492709472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A39-48F7-95C0-4B0E9F7D64B2}"/>
            </c:ext>
          </c:extLst>
        </c:ser>
        <c:ser>
          <c:idx val="1"/>
          <c:order val="1"/>
          <c:tx>
            <c:v>8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312373409298379"/>
                  <c:y val="6.516558063033371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äänitehotasot'!$C$12:$C$15</c:f>
              <c:numCache>
                <c:formatCode>0.0</c:formatCode>
                <c:ptCount val="4"/>
                <c:pt idx="0">
                  <c:v>127.75708105116436</c:v>
                </c:pt>
                <c:pt idx="1">
                  <c:v>116.42396786050477</c:v>
                </c:pt>
                <c:pt idx="2">
                  <c:v>103.10986018671835</c:v>
                </c:pt>
                <c:pt idx="3">
                  <c:v>87.336054084249838</c:v>
                </c:pt>
              </c:numCache>
            </c:numRef>
          </c:xVal>
          <c:yVal>
            <c:numRef>
              <c:f>'Laskenta äänitehotasot'!$R$12:$R$15</c:f>
              <c:numCache>
                <c:formatCode>0.0</c:formatCode>
                <c:ptCount val="4"/>
                <c:pt idx="0">
                  <c:v>68.836625582742215</c:v>
                </c:pt>
                <c:pt idx="1">
                  <c:v>68.509408295184656</c:v>
                </c:pt>
                <c:pt idx="2">
                  <c:v>69.681208757401194</c:v>
                </c:pt>
                <c:pt idx="3">
                  <c:v>71.126363051912179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A39-48F7-95C0-4B0E9F7D64B2}"/>
            </c:ext>
          </c:extLst>
        </c:ser>
        <c:ser>
          <c:idx val="2"/>
          <c:order val="2"/>
          <c:tx>
            <c:v>6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6022451101172506"/>
                  <c:y val="5.671354089030230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äänitehotasot'!$C$16:$C$19</c:f>
              <c:numCache>
                <c:formatCode>0.0</c:formatCode>
                <c:ptCount val="4"/>
                <c:pt idx="0">
                  <c:v>88.788078943155</c:v>
                </c:pt>
                <c:pt idx="1">
                  <c:v>81.733506658449841</c:v>
                </c:pt>
                <c:pt idx="2">
                  <c:v>73.137106451144177</c:v>
                </c:pt>
                <c:pt idx="3">
                  <c:v>62.463574142312737</c:v>
                </c:pt>
              </c:numCache>
            </c:numRef>
          </c:xVal>
          <c:yVal>
            <c:numRef>
              <c:f>'Laskenta äänitehotasot'!$R$16:$R$19</c:f>
              <c:numCache>
                <c:formatCode>0.0</c:formatCode>
                <c:ptCount val="4"/>
                <c:pt idx="0">
                  <c:v>61.550812634445478</c:v>
                </c:pt>
                <c:pt idx="1">
                  <c:v>62.255219861652328</c:v>
                </c:pt>
                <c:pt idx="2">
                  <c:v>63.869524474162127</c:v>
                </c:pt>
                <c:pt idx="3">
                  <c:v>65.918140988873759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A39-48F7-95C0-4B0E9F7D64B2}"/>
            </c:ext>
          </c:extLst>
        </c:ser>
        <c:ser>
          <c:idx val="3"/>
          <c:order val="3"/>
          <c:tx>
            <c:v>4 V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30294866757914346"/>
                  <c:y val="5.133002374222596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äänitehotasot'!$C$20:$C$23</c:f>
              <c:numCache>
                <c:formatCode>0.0</c:formatCode>
                <c:ptCount val="4"/>
                <c:pt idx="0">
                  <c:v>53.251415455377767</c:v>
                </c:pt>
                <c:pt idx="1">
                  <c:v>49.219569997287564</c:v>
                </c:pt>
                <c:pt idx="2">
                  <c:v>44.451052803998685</c:v>
                </c:pt>
                <c:pt idx="3">
                  <c:v>38.270824043288314</c:v>
                </c:pt>
              </c:numCache>
            </c:numRef>
          </c:xVal>
          <c:yVal>
            <c:numRef>
              <c:f>'Laskenta äänitehotasot'!$R$20:$R$23</c:f>
              <c:numCache>
                <c:formatCode>0.0</c:formatCode>
                <c:ptCount val="4"/>
                <c:pt idx="0">
                  <c:v>53.344068233078701</c:v>
                </c:pt>
                <c:pt idx="1">
                  <c:v>54.397561303239854</c:v>
                </c:pt>
                <c:pt idx="2">
                  <c:v>55.230677586446184</c:v>
                </c:pt>
                <c:pt idx="3">
                  <c:v>56.52639291930322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A39-48F7-95C0-4B0E9F7D64B2}"/>
            </c:ext>
          </c:extLst>
        </c:ser>
        <c:ser>
          <c:idx val="4"/>
          <c:order val="4"/>
          <c:tx>
            <c:v>Mitoituspisteen verkkokäyrän pisteet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-0.27739553591333377"/>
                  <c:y val="-8.4550372585453004E-2"/>
                </c:manualLayout>
              </c:layout>
              <c:numFmt formatCode="General" sourceLinked="0"/>
              <c:spPr>
                <a:noFill/>
                <a:ln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äänitehotasot'!$AG$9:$AG$12</c:f>
              <c:numCache>
                <c:formatCode>0.00</c:formatCode>
                <c:ptCount val="4"/>
                <c:pt idx="0">
                  <c:v>145.65364378431303</c:v>
                </c:pt>
                <c:pt idx="1">
                  <c:v>123.49583115646229</c:v>
                </c:pt>
                <c:pt idx="2">
                  <c:v>86.508692556320128</c:v>
                </c:pt>
                <c:pt idx="3">
                  <c:v>52.069137848972048</c:v>
                </c:pt>
              </c:numCache>
            </c:numRef>
          </c:xVal>
          <c:yVal>
            <c:numRef>
              <c:f>'Laskenta äänitehotasot'!$AH$9:$AH$12</c:f>
              <c:numCache>
                <c:formatCode>0.0</c:formatCode>
                <c:ptCount val="4"/>
                <c:pt idx="0">
                  <c:v>71.67300158367371</c:v>
                </c:pt>
                <c:pt idx="1">
                  <c:v>68.62498464116949</c:v>
                </c:pt>
                <c:pt idx="2">
                  <c:v>61.70478974921199</c:v>
                </c:pt>
                <c:pt idx="3">
                  <c:v>53.673921099495423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52D-4618-AC46-AE250E4CE84D}"/>
            </c:ext>
          </c:extLst>
        </c:ser>
        <c:ser>
          <c:idx val="5"/>
          <c:order val="5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äänitehotasot'!$AC$21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'Laskenta äänitehotasot'!$AG$21</c:f>
              <c:numCache>
                <c:formatCode>0.0</c:formatCode>
                <c:ptCount val="1"/>
                <c:pt idx="0">
                  <c:v>61.781767929593748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52D-4618-AC46-AE250E4CE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190944"/>
        <c:axId val="484196352"/>
      </c:scatterChart>
      <c:valAx>
        <c:axId val="484190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6352"/>
        <c:crosses val="autoZero"/>
        <c:crossBetween val="midCat"/>
      </c:valAx>
      <c:valAx>
        <c:axId val="484196352"/>
        <c:scaling>
          <c:orientation val="minMax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A-painotettu äänitehotaso LwA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0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'Laskenta äänitehotasot'!$B$28</c:f>
          <c:strCache>
            <c:ptCount val="1"/>
            <c:pt idx="0">
              <c:v>ULKOKANAVA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467003070047861"/>
                  <c:y val="-7.7845482260776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äänitehotasot'!$C$32:$C$35</c:f>
              <c:numCache>
                <c:formatCode>0.0</c:formatCode>
                <c:ptCount val="4"/>
                <c:pt idx="0">
                  <c:v>151.40937714925482</c:v>
                </c:pt>
                <c:pt idx="1">
                  <c:v>136.37637263082664</c:v>
                </c:pt>
                <c:pt idx="2">
                  <c:v>121.08623921696152</c:v>
                </c:pt>
                <c:pt idx="3">
                  <c:v>105.31714134721213</c:v>
                </c:pt>
              </c:numCache>
            </c:numRef>
          </c:xVal>
          <c:yVal>
            <c:numRef>
              <c:f>'Laskenta äänitehotasot'!$R$32:$R$35</c:f>
              <c:numCache>
                <c:formatCode>0.0</c:formatCode>
                <c:ptCount val="4"/>
                <c:pt idx="0">
                  <c:v>63.152950215686793</c:v>
                </c:pt>
                <c:pt idx="1">
                  <c:v>62.458589543560059</c:v>
                </c:pt>
                <c:pt idx="2">
                  <c:v>62.39310240853343</c:v>
                </c:pt>
                <c:pt idx="3">
                  <c:v>63.240865269819857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CF-4602-8B00-B0B54E66EF0F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312373409298379"/>
                  <c:y val="6.516558063033371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äänitehotasot'!$C$36:$C$39</c:f>
              <c:numCache>
                <c:formatCode>0.0</c:formatCode>
                <c:ptCount val="4"/>
                <c:pt idx="0">
                  <c:v>128.18424851276751</c:v>
                </c:pt>
                <c:pt idx="1">
                  <c:v>116.15075925701436</c:v>
                </c:pt>
                <c:pt idx="2">
                  <c:v>103.262888907129</c:v>
                </c:pt>
                <c:pt idx="3">
                  <c:v>89.53339232914351</c:v>
                </c:pt>
              </c:numCache>
            </c:numRef>
          </c:xVal>
          <c:yVal>
            <c:numRef>
              <c:f>'Laskenta äänitehotasot'!$R$36:$R$39</c:f>
              <c:numCache>
                <c:formatCode>0.0</c:formatCode>
                <c:ptCount val="4"/>
                <c:pt idx="0">
                  <c:v>60.393553403571815</c:v>
                </c:pt>
                <c:pt idx="1">
                  <c:v>60.268204469724736</c:v>
                </c:pt>
                <c:pt idx="2">
                  <c:v>60.808320809534763</c:v>
                </c:pt>
                <c:pt idx="3">
                  <c:v>63.560787857885082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4CF-4602-8B00-B0B54E66EF0F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6022451101172506"/>
                  <c:y val="5.671354089030230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äänitehotasot'!$C$40:$C$43</c:f>
              <c:numCache>
                <c:formatCode>0.0</c:formatCode>
                <c:ptCount val="4"/>
                <c:pt idx="0">
                  <c:v>89.083668744316583</c:v>
                </c:pt>
                <c:pt idx="1">
                  <c:v>81.635487491799807</c:v>
                </c:pt>
                <c:pt idx="2">
                  <c:v>73.240485179787271</c:v>
                </c:pt>
                <c:pt idx="3">
                  <c:v>64.145790177209165</c:v>
                </c:pt>
              </c:numCache>
            </c:numRef>
          </c:xVal>
          <c:yVal>
            <c:numRef>
              <c:f>'Laskenta äänitehotasot'!$R$40:$R$43</c:f>
              <c:numCache>
                <c:formatCode>0.0</c:formatCode>
                <c:ptCount val="4"/>
                <c:pt idx="0">
                  <c:v>57.679814723202611</c:v>
                </c:pt>
                <c:pt idx="1">
                  <c:v>56.55560110957218</c:v>
                </c:pt>
                <c:pt idx="2">
                  <c:v>57.576438052575881</c:v>
                </c:pt>
                <c:pt idx="3">
                  <c:v>58.930467781758182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4CF-4602-8B00-B0B54E66EF0F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7436210648472759"/>
                  <c:y val="1.416588374677016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äänitehotasot'!$C$44:$C$47</c:f>
              <c:numCache>
                <c:formatCode>0.0</c:formatCode>
                <c:ptCount val="4"/>
                <c:pt idx="0">
                  <c:v>53.45618779061126</c:v>
                </c:pt>
                <c:pt idx="1">
                  <c:v>49.393908312321557</c:v>
                </c:pt>
                <c:pt idx="2">
                  <c:v>44.571180207634491</c:v>
                </c:pt>
                <c:pt idx="3">
                  <c:v>39.396985201335021</c:v>
                </c:pt>
              </c:numCache>
            </c:numRef>
          </c:xVal>
          <c:yVal>
            <c:numRef>
              <c:f>'Laskenta äänitehotasot'!$R$44:$R$47</c:f>
              <c:numCache>
                <c:formatCode>0.0</c:formatCode>
                <c:ptCount val="4"/>
                <c:pt idx="0">
                  <c:v>46.887804881881998</c:v>
                </c:pt>
                <c:pt idx="1">
                  <c:v>47.898673614555648</c:v>
                </c:pt>
                <c:pt idx="2">
                  <c:v>47.316466632147822</c:v>
                </c:pt>
                <c:pt idx="3">
                  <c:v>47.944398025416021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4CF-4602-8B00-B0B54E66EF0F}"/>
            </c:ext>
          </c:extLst>
        </c:ser>
        <c:ser>
          <c:idx val="4"/>
          <c:order val="4"/>
          <c:tx>
            <c:v>Mitoituspisteen verkkokäyrä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0.10418479490020048"/>
                  <c:y val="-0.14557674596333234"/>
                </c:manualLayout>
              </c:layout>
              <c:numFmt formatCode="General" sourceLinked="0"/>
              <c:spPr>
                <a:noFill/>
                <a:ln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22309836978472428"/>
                  <c:y val="-5.498852284211965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äänitehotasot'!$AG$33:$AG$36</c:f>
              <c:numCache>
                <c:formatCode>0.00</c:formatCode>
                <c:ptCount val="4"/>
                <c:pt idx="0">
                  <c:v>145.65364378431303</c:v>
                </c:pt>
                <c:pt idx="1">
                  <c:v>123.49583115646229</c:v>
                </c:pt>
                <c:pt idx="2">
                  <c:v>86.508692556320128</c:v>
                </c:pt>
                <c:pt idx="3">
                  <c:v>52.069137848972048</c:v>
                </c:pt>
              </c:numCache>
            </c:numRef>
          </c:xVal>
          <c:yVal>
            <c:numRef>
              <c:f>'Laskenta äänitehotasot'!$AH$33:$AH$36</c:f>
              <c:numCache>
                <c:formatCode>0.0</c:formatCode>
                <c:ptCount val="4"/>
                <c:pt idx="0">
                  <c:v>62.785132458872098</c:v>
                </c:pt>
                <c:pt idx="1">
                  <c:v>60.130054090672182</c:v>
                </c:pt>
                <c:pt idx="2">
                  <c:v>57.11424788611982</c:v>
                </c:pt>
                <c:pt idx="3">
                  <c:v>47.225270719517887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8C7-448B-AAB9-8C9A9084A395}"/>
            </c:ext>
          </c:extLst>
        </c:ser>
        <c:ser>
          <c:idx val="5"/>
          <c:order val="5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äänitehotasot'!$AC$45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'Laskenta äänitehotasot'!$AG$45</c:f>
              <c:numCache>
                <c:formatCode>0.0</c:formatCode>
                <c:ptCount val="1"/>
                <c:pt idx="0">
                  <c:v>55.363315810427771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A8C7-448B-AAB9-8C9A9084A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190944"/>
        <c:axId val="484196352"/>
      </c:scatterChart>
      <c:valAx>
        <c:axId val="484190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6352"/>
        <c:crosses val="autoZero"/>
        <c:crossBetween val="midCat"/>
      </c:valAx>
      <c:valAx>
        <c:axId val="484196352"/>
        <c:scaling>
          <c:orientation val="minMax"/>
          <c:min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A-painotettu äänitehotaso LwA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0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'Laskenta äänitehotasot'!$B$52</c:f>
          <c:strCache>
            <c:ptCount val="1"/>
            <c:pt idx="0">
              <c:v>POISTOKANAVA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467003070047861"/>
                  <c:y val="-7.7845482260776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äänitehotasot'!$F$56:$F$59</c:f>
              <c:numCache>
                <c:formatCode>0.0</c:formatCode>
                <c:ptCount val="4"/>
                <c:pt idx="0">
                  <c:v>157.03860191126316</c:v>
                </c:pt>
                <c:pt idx="1">
                  <c:v>143.77222168068852</c:v>
                </c:pt>
                <c:pt idx="2">
                  <c:v>129.78686682195772</c:v>
                </c:pt>
                <c:pt idx="3">
                  <c:v>115.14682583239839</c:v>
                </c:pt>
              </c:numCache>
            </c:numRef>
          </c:xVal>
          <c:yVal>
            <c:numRef>
              <c:f>'Laskenta äänitehotasot'!$R$56:$R$59</c:f>
              <c:numCache>
                <c:formatCode>0.0</c:formatCode>
                <c:ptCount val="4"/>
                <c:pt idx="0">
                  <c:v>64.724755481903372</c:v>
                </c:pt>
                <c:pt idx="1">
                  <c:v>63.937238661775794</c:v>
                </c:pt>
                <c:pt idx="2">
                  <c:v>64.354164364101024</c:v>
                </c:pt>
                <c:pt idx="3">
                  <c:v>64.671279424854674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98-4226-8C71-B06C493C3D2D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312373409298379"/>
                  <c:y val="6.516558063033371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äänitehotasot'!$F$60:$F$63</c:f>
              <c:numCache>
                <c:formatCode>0.0</c:formatCode>
                <c:ptCount val="4"/>
                <c:pt idx="0">
                  <c:v>133.42928019520559</c:v>
                </c:pt>
                <c:pt idx="1">
                  <c:v>122.32952708814292</c:v>
                </c:pt>
                <c:pt idx="2">
                  <c:v>109.7254885587823</c:v>
                </c:pt>
                <c:pt idx="3">
                  <c:v>96.783984844529854</c:v>
                </c:pt>
              </c:numCache>
            </c:numRef>
          </c:xVal>
          <c:yVal>
            <c:numRef>
              <c:f>'Laskenta äänitehotasot'!$R$60:$R$63</c:f>
              <c:numCache>
                <c:formatCode>0.0</c:formatCode>
                <c:ptCount val="4"/>
                <c:pt idx="0">
                  <c:v>61.807816054436984</c:v>
                </c:pt>
                <c:pt idx="1">
                  <c:v>62.475183782126614</c:v>
                </c:pt>
                <c:pt idx="2">
                  <c:v>62.452460371424692</c:v>
                </c:pt>
                <c:pt idx="3">
                  <c:v>63.728112442026728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598-4226-8C71-B06C493C3D2D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6022451101172506"/>
                  <c:y val="5.671354089030230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äänitehotasot'!$F$64:$F$67</c:f>
              <c:numCache>
                <c:formatCode>0.0</c:formatCode>
                <c:ptCount val="4"/>
                <c:pt idx="0">
                  <c:v>96.239143550334759</c:v>
                </c:pt>
                <c:pt idx="1">
                  <c:v>89.370392636908349</c:v>
                </c:pt>
                <c:pt idx="2">
                  <c:v>80.669573412379322</c:v>
                </c:pt>
                <c:pt idx="3">
                  <c:v>71.440570595477595</c:v>
                </c:pt>
              </c:numCache>
            </c:numRef>
          </c:xVal>
          <c:yVal>
            <c:numRef>
              <c:f>'Laskenta äänitehotasot'!$R$64:$R$67</c:f>
              <c:numCache>
                <c:formatCode>0.0</c:formatCode>
                <c:ptCount val="4"/>
                <c:pt idx="0">
                  <c:v>60.022110214044929</c:v>
                </c:pt>
                <c:pt idx="1">
                  <c:v>60.202317743749276</c:v>
                </c:pt>
                <c:pt idx="2">
                  <c:v>59.650579831868484</c:v>
                </c:pt>
                <c:pt idx="3">
                  <c:v>60.880975891501599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598-4226-8C71-B06C493C3D2D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7436210648472759"/>
                  <c:y val="1.416588374677016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äänitehotasot'!$F$68:$F$71</c:f>
              <c:numCache>
                <c:formatCode>0.0</c:formatCode>
                <c:ptCount val="4"/>
                <c:pt idx="0">
                  <c:v>60.911031133624881</c:v>
                </c:pt>
                <c:pt idx="1">
                  <c:v>57.418004704293189</c:v>
                </c:pt>
                <c:pt idx="2">
                  <c:v>52.036723895910569</c:v>
                </c:pt>
                <c:pt idx="3">
                  <c:v>46.130252561001356</c:v>
                </c:pt>
              </c:numCache>
            </c:numRef>
          </c:xVal>
          <c:yVal>
            <c:numRef>
              <c:f>'Laskenta äänitehotasot'!$R$68:$R$71</c:f>
              <c:numCache>
                <c:formatCode>0.0</c:formatCode>
                <c:ptCount val="4"/>
                <c:pt idx="0">
                  <c:v>47.174901234488509</c:v>
                </c:pt>
                <c:pt idx="1">
                  <c:v>49.642218535150803</c:v>
                </c:pt>
                <c:pt idx="2">
                  <c:v>48.986148039466656</c:v>
                </c:pt>
                <c:pt idx="3">
                  <c:v>47.537093371585399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598-4226-8C71-B06C493C3D2D}"/>
            </c:ext>
          </c:extLst>
        </c:ser>
        <c:ser>
          <c:idx val="4"/>
          <c:order val="4"/>
          <c:tx>
            <c:v>Mitoituspisteen verkkokäyrä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0.20157643757690524"/>
                  <c:y val="-0.11122817070517092"/>
                </c:manualLayout>
              </c:layout>
              <c:numFmt formatCode="General" sourceLinked="0"/>
              <c:spPr>
                <a:noFill/>
                <a:ln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2090753656254693"/>
                  <c:y val="-6.805626027600833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äänitehotasot'!$AG$57:$AG$60</c:f>
              <c:numCache>
                <c:formatCode>0.00</c:formatCode>
                <c:ptCount val="4"/>
                <c:pt idx="0">
                  <c:v>150.57772069495383</c:v>
                </c:pt>
                <c:pt idx="1">
                  <c:v>128.16693998999935</c:v>
                </c:pt>
                <c:pt idx="2">
                  <c:v>92.926642758702698</c:v>
                </c:pt>
                <c:pt idx="3">
                  <c:v>58.763814207834933</c:v>
                </c:pt>
              </c:numCache>
            </c:numRef>
          </c:xVal>
          <c:yVal>
            <c:numRef>
              <c:f>'Laskenta äänitehotasot'!$AH$57:$AH$60</c:f>
              <c:numCache>
                <c:formatCode>0.0</c:formatCode>
                <c:ptCount val="4"/>
                <c:pt idx="0">
                  <c:v>64.390341140145466</c:v>
                </c:pt>
                <c:pt idx="1">
                  <c:v>62.023849229272543</c:v>
                </c:pt>
                <c:pt idx="2">
                  <c:v>59.971665091675511</c:v>
                </c:pt>
                <c:pt idx="3">
                  <c:v>48.388894035276884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283-45C7-8E98-9834CDB4F9B0}"/>
            </c:ext>
          </c:extLst>
        </c:ser>
        <c:ser>
          <c:idx val="5"/>
          <c:order val="5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äänitehotasot'!$AC$69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'Laskenta äänitehotasot'!$AG$69</c:f>
              <c:numCache>
                <c:formatCode>0.0</c:formatCode>
                <c:ptCount val="1"/>
                <c:pt idx="0">
                  <c:v>56.127289746229252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A283-45C7-8E98-9834CDB4F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190944"/>
        <c:axId val="484196352"/>
      </c:scatterChart>
      <c:valAx>
        <c:axId val="484190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6352"/>
        <c:crosses val="autoZero"/>
        <c:crossBetween val="midCat"/>
      </c:valAx>
      <c:valAx>
        <c:axId val="484196352"/>
        <c:scaling>
          <c:orientation val="minMax"/>
          <c:min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A-painotettu äänitehotaso LwA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0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'Laskenta äänitehotasot'!$B$76</c:f>
          <c:strCache>
            <c:ptCount val="1"/>
            <c:pt idx="0">
              <c:v>JÄTEKANAVA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467003070047861"/>
                  <c:y val="-7.7845482260776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äänitehotasot'!$F$80:$F$83</c:f>
              <c:numCache>
                <c:formatCode>0.0</c:formatCode>
                <c:ptCount val="4"/>
                <c:pt idx="0">
                  <c:v>157.07133430005098</c:v>
                </c:pt>
                <c:pt idx="1">
                  <c:v>143.34522357105402</c:v>
                </c:pt>
                <c:pt idx="2">
                  <c:v>129.19223463872049</c:v>
                </c:pt>
                <c:pt idx="3">
                  <c:v>112.84136436101015</c:v>
                </c:pt>
              </c:numCache>
            </c:numRef>
          </c:xVal>
          <c:yVal>
            <c:numRef>
              <c:f>'Laskenta äänitehotasot'!$R$80:$R$83</c:f>
              <c:numCache>
                <c:formatCode>0.0</c:formatCode>
                <c:ptCount val="4"/>
                <c:pt idx="0">
                  <c:v>73.488040388238062</c:v>
                </c:pt>
                <c:pt idx="1">
                  <c:v>73.556331620746548</c:v>
                </c:pt>
                <c:pt idx="2">
                  <c:v>74.372275121036338</c:v>
                </c:pt>
                <c:pt idx="3">
                  <c:v>76.512147861262093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5B-44DD-BF39-2FDD765BFAD5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312373409298379"/>
                  <c:y val="6.516558063033371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äänitehotasot'!$F$84:$F$87</c:f>
              <c:numCache>
                <c:formatCode>0.0</c:formatCode>
                <c:ptCount val="4"/>
                <c:pt idx="0">
                  <c:v>133.48734200953754</c:v>
                </c:pt>
                <c:pt idx="1">
                  <c:v>121.94822345460111</c:v>
                </c:pt>
                <c:pt idx="2">
                  <c:v>109.49508090714585</c:v>
                </c:pt>
                <c:pt idx="3">
                  <c:v>94.620434367922911</c:v>
                </c:pt>
              </c:numCache>
            </c:numRef>
          </c:xVal>
          <c:yVal>
            <c:numRef>
              <c:f>'Laskenta äänitehotasot'!$R$84:$R$87</c:f>
              <c:numCache>
                <c:formatCode>0.0</c:formatCode>
                <c:ptCount val="4"/>
                <c:pt idx="0">
                  <c:v>70.464903993037751</c:v>
                </c:pt>
                <c:pt idx="1">
                  <c:v>70.817088414845628</c:v>
                </c:pt>
                <c:pt idx="2">
                  <c:v>72.152675124195511</c:v>
                </c:pt>
                <c:pt idx="3">
                  <c:v>75.366305199892139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25B-44DD-BF39-2FDD765BFAD5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6022451101172506"/>
                  <c:y val="5.671354089030230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äänitehotasot'!$F$88:$F$91</c:f>
              <c:numCache>
                <c:formatCode>0.0</c:formatCode>
                <c:ptCount val="4"/>
                <c:pt idx="0">
                  <c:v>96.307031540483251</c:v>
                </c:pt>
                <c:pt idx="1">
                  <c:v>88.998886231906411</c:v>
                </c:pt>
                <c:pt idx="2">
                  <c:v>80.416957080027231</c:v>
                </c:pt>
                <c:pt idx="3">
                  <c:v>69.813714968862342</c:v>
                </c:pt>
              </c:numCache>
            </c:numRef>
          </c:xVal>
          <c:yVal>
            <c:numRef>
              <c:f>'Laskenta äänitehotasot'!$R$88:$R$91</c:f>
              <c:numCache>
                <c:formatCode>0.0</c:formatCode>
                <c:ptCount val="4"/>
                <c:pt idx="0">
                  <c:v>65.059057351138947</c:v>
                </c:pt>
                <c:pt idx="1">
                  <c:v>64.796545668980684</c:v>
                </c:pt>
                <c:pt idx="2">
                  <c:v>65.803397559761564</c:v>
                </c:pt>
                <c:pt idx="3">
                  <c:v>67.720057401976263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25B-44DD-BF39-2FDD765BFAD5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7436210648472759"/>
                  <c:y val="1.416588374677016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äänitehotasot'!$F$92:$F$95</c:f>
              <c:numCache>
                <c:formatCode>0.0</c:formatCode>
                <c:ptCount val="4"/>
                <c:pt idx="0">
                  <c:v>61.035386437266624</c:v>
                </c:pt>
                <c:pt idx="1">
                  <c:v>57.170637308606381</c:v>
                </c:pt>
                <c:pt idx="2">
                  <c:v>51.85868678326694</c:v>
                </c:pt>
                <c:pt idx="3">
                  <c:v>44.884292152197567</c:v>
                </c:pt>
              </c:numCache>
            </c:numRef>
          </c:xVal>
          <c:yVal>
            <c:numRef>
              <c:f>'Laskenta äänitehotasot'!$R$92:$R$95</c:f>
              <c:numCache>
                <c:formatCode>0.0</c:formatCode>
                <c:ptCount val="4"/>
                <c:pt idx="0">
                  <c:v>55.662907381083983</c:v>
                </c:pt>
                <c:pt idx="1">
                  <c:v>56.229260048945839</c:v>
                </c:pt>
                <c:pt idx="2">
                  <c:v>57.371414098912325</c:v>
                </c:pt>
                <c:pt idx="3">
                  <c:v>59.188557714313113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25B-44DD-BF39-2FDD765BFAD5}"/>
            </c:ext>
          </c:extLst>
        </c:ser>
        <c:ser>
          <c:idx val="4"/>
          <c:order val="4"/>
          <c:tx>
            <c:v>Mitoituspisteen verkkokäyrä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0.10555845181371779"/>
                  <c:y val="-8.8072720703292931E-2"/>
                </c:manualLayout>
              </c:layout>
              <c:numFmt formatCode="General" sourceLinked="0"/>
              <c:spPr>
                <a:noFill/>
                <a:ln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äänitehotasot'!$AG$81:$AG$84</c:f>
              <c:numCache>
                <c:formatCode>0.00</c:formatCode>
                <c:ptCount val="4"/>
                <c:pt idx="0">
                  <c:v>150.57772069495383</c:v>
                </c:pt>
                <c:pt idx="1">
                  <c:v>128.16693998999935</c:v>
                </c:pt>
                <c:pt idx="2">
                  <c:v>92.926642758702698</c:v>
                </c:pt>
                <c:pt idx="3">
                  <c:v>58.763814207834933</c:v>
                </c:pt>
              </c:numCache>
            </c:numRef>
          </c:xVal>
          <c:yVal>
            <c:numRef>
              <c:f>'Laskenta äänitehotasot'!$AH$81:$AH$84</c:f>
              <c:numCache>
                <c:formatCode>0.0</c:formatCode>
                <c:ptCount val="4"/>
                <c:pt idx="0">
                  <c:v>73.456667810685289</c:v>
                </c:pt>
                <c:pt idx="1">
                  <c:v>70.516536193163105</c:v>
                </c:pt>
                <c:pt idx="2">
                  <c:v>64.886879700483732</c:v>
                </c:pt>
                <c:pt idx="3">
                  <c:v>56.002148695578292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25B-44DD-BF39-2FDD765BFAD5}"/>
            </c:ext>
          </c:extLst>
        </c:ser>
        <c:ser>
          <c:idx val="5"/>
          <c:order val="5"/>
          <c:tx>
            <c:v>Mitoituspiste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äänitehotasot'!$AC$93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'Laskenta äänitehotasot'!$AG$93</c:f>
              <c:numCache>
                <c:formatCode>0.0</c:formatCode>
                <c:ptCount val="1"/>
                <c:pt idx="0">
                  <c:v>62.745864182903034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425B-44DD-BF39-2FDD765BF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190944"/>
        <c:axId val="484196352"/>
      </c:scatterChart>
      <c:valAx>
        <c:axId val="484190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6352"/>
        <c:crosses val="autoZero"/>
        <c:crossBetween val="midCat"/>
      </c:valAx>
      <c:valAx>
        <c:axId val="484196352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A-painotettu äänitehotaso LwA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0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'Laskenta äänitehotasot'!$B$100</c:f>
          <c:strCache>
            <c:ptCount val="1"/>
            <c:pt idx="0">
              <c:v>VAIPAN LÄPI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467003070047861"/>
                  <c:y val="-7.78454822607768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äänitehotasot'!$S$104:$S$107</c:f>
              <c:numCache>
                <c:formatCode>0.0</c:formatCode>
                <c:ptCount val="4"/>
                <c:pt idx="0">
                  <c:v>153.04031960579164</c:v>
                </c:pt>
                <c:pt idx="1">
                  <c:v>139.76578210622978</c:v>
                </c:pt>
                <c:pt idx="2">
                  <c:v>124.96851826976004</c:v>
                </c:pt>
                <c:pt idx="3">
                  <c:v>108.49913118765659</c:v>
                </c:pt>
              </c:numCache>
            </c:numRef>
          </c:xVal>
          <c:yVal>
            <c:numRef>
              <c:f>'Laskenta äänitehotasot'!$R$104:$R$107</c:f>
              <c:numCache>
                <c:formatCode>0.0</c:formatCode>
                <c:ptCount val="4"/>
                <c:pt idx="0">
                  <c:v>53.913084295636025</c:v>
                </c:pt>
                <c:pt idx="1">
                  <c:v>53.959070251491369</c:v>
                </c:pt>
                <c:pt idx="2">
                  <c:v>55.799633981917644</c:v>
                </c:pt>
                <c:pt idx="3">
                  <c:v>58.103371972671518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41-4A63-BB00-44C851D149CF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312373409298379"/>
                  <c:y val="6.516558063033371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äänitehotasot'!$S$108:$S$111</c:f>
              <c:numCache>
                <c:formatCode>0.0</c:formatCode>
                <c:ptCount val="4"/>
                <c:pt idx="0">
                  <c:v>129.8764146577436</c:v>
                </c:pt>
                <c:pt idx="1">
                  <c:v>118.93523622705079</c:v>
                </c:pt>
                <c:pt idx="2">
                  <c:v>106.52979919879033</c:v>
                </c:pt>
                <c:pt idx="3">
                  <c:v>91.935767147686377</c:v>
                </c:pt>
              </c:numCache>
            </c:numRef>
          </c:xVal>
          <c:yVal>
            <c:numRef>
              <c:f>'Laskenta äänitehotasot'!$R$108:$R$111</c:f>
              <c:numCache>
                <c:formatCode>0.0</c:formatCode>
                <c:ptCount val="4"/>
                <c:pt idx="0">
                  <c:v>51.389973012250337</c:v>
                </c:pt>
                <c:pt idx="1">
                  <c:v>51.496975219260371</c:v>
                </c:pt>
                <c:pt idx="2">
                  <c:v>53.020048063609181</c:v>
                </c:pt>
                <c:pt idx="3">
                  <c:v>55.416709519052183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41-4A63-BB00-44C851D149CF}"/>
            </c:ext>
          </c:extLst>
        </c:ser>
        <c:ser>
          <c:idx val="2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6022451101172506"/>
                  <c:y val="5.671354089030230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äänitehotasot'!$S$112:$S$115</c:f>
              <c:numCache>
                <c:formatCode>0.0</c:formatCode>
                <c:ptCount val="4"/>
                <c:pt idx="0">
                  <c:v>92.19086776500464</c:v>
                </c:pt>
                <c:pt idx="1">
                  <c:v>85.353213337504357</c:v>
                </c:pt>
                <c:pt idx="2">
                  <c:v>77.132180530055948</c:v>
                </c:pt>
                <c:pt idx="3">
                  <c:v>67.004388828920426</c:v>
                </c:pt>
              </c:numCache>
            </c:numRef>
          </c:xVal>
          <c:yVal>
            <c:numRef>
              <c:f>'Laskenta äänitehotasot'!$R$112:$R$115</c:f>
              <c:numCache>
                <c:formatCode>0.0</c:formatCode>
                <c:ptCount val="4"/>
                <c:pt idx="0">
                  <c:v>47.147732481195007</c:v>
                </c:pt>
                <c:pt idx="1">
                  <c:v>46.577750103152546</c:v>
                </c:pt>
                <c:pt idx="2">
                  <c:v>47.05349106061923</c:v>
                </c:pt>
                <c:pt idx="3">
                  <c:v>48.515919773187704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A41-4A63-BB00-44C851D149CF}"/>
            </c:ext>
          </c:extLst>
        </c:ser>
        <c:ser>
          <c:idx val="3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7436210648472759"/>
                  <c:y val="1.416588374677016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äänitehotasot'!$S$116:$S$119</c:f>
              <c:numCache>
                <c:formatCode>0.0</c:formatCode>
                <c:ptCount val="4"/>
                <c:pt idx="0">
                  <c:v>57.02861421658767</c:v>
                </c:pt>
                <c:pt idx="1">
                  <c:v>53.275104438177308</c:v>
                </c:pt>
                <c:pt idx="2">
                  <c:v>48.430070236155146</c:v>
                </c:pt>
                <c:pt idx="3">
                  <c:v>42.178244011642747</c:v>
                </c:pt>
              </c:numCache>
            </c:numRef>
          </c:xVal>
          <c:yVal>
            <c:numRef>
              <c:f>'Laskenta äänitehotasot'!$R$116:$R$119</c:f>
              <c:numCache>
                <c:formatCode>0.0</c:formatCode>
                <c:ptCount val="4"/>
                <c:pt idx="0">
                  <c:v>36.860466086992481</c:v>
                </c:pt>
                <c:pt idx="1">
                  <c:v>37.268617532522917</c:v>
                </c:pt>
                <c:pt idx="2">
                  <c:v>37.884937490903305</c:v>
                </c:pt>
                <c:pt idx="3">
                  <c:v>38.531668813915083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0A41-4A63-BB00-44C851D149CF}"/>
            </c:ext>
          </c:extLst>
        </c:ser>
        <c:ser>
          <c:idx val="4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og"/>
            <c:dispRSqr val="1"/>
            <c:dispEq val="1"/>
            <c:trendlineLbl>
              <c:layout>
                <c:manualLayout>
                  <c:x val="0.21204457421822648"/>
                  <c:y val="0.55608324891489491"/>
                </c:manualLayout>
              </c:layout>
              <c:numFmt formatCode="General" sourceLinked="0"/>
              <c:spPr>
                <a:noFill/>
                <a:ln>
                  <a:solidFill>
                    <a:schemeClr val="tx1"/>
                  </a:solidFill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'Laskenta äänitehotasot'!$AG$105:$AG$108</c:f>
              <c:numCache>
                <c:formatCode>0.00</c:formatCode>
                <c:ptCount val="4"/>
                <c:pt idx="0">
                  <c:v>148.11568223963343</c:v>
                </c:pt>
                <c:pt idx="1">
                  <c:v>125.83138557323082</c:v>
                </c:pt>
                <c:pt idx="2">
                  <c:v>89.717667657511413</c:v>
                </c:pt>
                <c:pt idx="3">
                  <c:v>55.416476028403494</c:v>
                </c:pt>
              </c:numCache>
            </c:numRef>
          </c:xVal>
          <c:yVal>
            <c:numRef>
              <c:f>'Laskenta äänitehotasot'!$AH$105:$AH$108</c:f>
              <c:numCache>
                <c:formatCode>0.0</c:formatCode>
                <c:ptCount val="4"/>
                <c:pt idx="0">
                  <c:v>53.813914593229342</c:v>
                </c:pt>
                <c:pt idx="1">
                  <c:v>51.290939560222057</c:v>
                </c:pt>
                <c:pt idx="2">
                  <c:v>46.775429249916165</c:v>
                </c:pt>
                <c:pt idx="3">
                  <c:v>37.046418789423512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A41-4A63-BB00-44C851D149CF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9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'Laskenta äänitehotasot'!$AC$117</c:f>
              <c:numCache>
                <c:formatCode>0.0</c:formatCode>
                <c:ptCount val="1"/>
                <c:pt idx="0">
                  <c:v>84</c:v>
                </c:pt>
              </c:numCache>
            </c:numRef>
          </c:xVal>
          <c:yVal>
            <c:numRef>
              <c:f>'Laskenta äänitehotasot'!$AG$117</c:f>
              <c:numCache>
                <c:formatCode>0.0</c:formatCode>
                <c:ptCount val="1"/>
                <c:pt idx="0">
                  <c:v>44.602407658852982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0A41-4A63-BB00-44C851D14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190944"/>
        <c:axId val="484196352"/>
      </c:scatterChart>
      <c:valAx>
        <c:axId val="484190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6352"/>
        <c:crosses val="autoZero"/>
        <c:crossBetween val="midCat"/>
      </c:valAx>
      <c:valAx>
        <c:axId val="484196352"/>
        <c:scaling>
          <c:orientation val="minMax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A-painotettu äänitehotaso LwA [dB]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84190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fi-FI"/>
              <a:t>Parmair</a:t>
            </a:r>
            <a:r>
              <a:rPr lang="fi-FI" baseline="0"/>
              <a:t> Alvari</a:t>
            </a:r>
            <a:endParaRPr lang="fi-FI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'Laskenta tulopuoli'!$AE$5</c:f>
              <c:strCache>
                <c:ptCount val="1"/>
                <c:pt idx="0">
                  <c:v>Tulo 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tulopuoli'!$AE$7:$AE$11</c:f>
              <c:numCache>
                <c:formatCode>General</c:formatCode>
                <c:ptCount val="5"/>
                <c:pt idx="0">
                  <c:v>162.5</c:v>
                </c:pt>
                <c:pt idx="1">
                  <c:v>142</c:v>
                </c:pt>
                <c:pt idx="2">
                  <c:v>121.5</c:v>
                </c:pt>
                <c:pt idx="3">
                  <c:v>101</c:v>
                </c:pt>
                <c:pt idx="4">
                  <c:v>80.5</c:v>
                </c:pt>
              </c:numCache>
            </c:numRef>
          </c:xVal>
          <c:yVal>
            <c:numRef>
              <c:f>'Laskenta tulopuoli'!$AF$7:$AF$11</c:f>
              <c:numCache>
                <c:formatCode>0.0</c:formatCode>
                <c:ptCount val="5"/>
                <c:pt idx="0">
                  <c:v>5.2656360520359158E-2</c:v>
                </c:pt>
                <c:pt idx="1">
                  <c:v>181.41097975513662</c:v>
                </c:pt>
                <c:pt idx="2">
                  <c:v>345.77074016934239</c:v>
                </c:pt>
                <c:pt idx="3">
                  <c:v>493.13193760313749</c:v>
                </c:pt>
                <c:pt idx="4">
                  <c:v>623.49457205652197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0D-46CF-AE71-9D03AB08EBF4}"/>
            </c:ext>
          </c:extLst>
        </c:ser>
        <c:ser>
          <c:idx val="1"/>
          <c:order val="1"/>
          <c:tx>
            <c:strRef>
              <c:f>'Laskenta tulopuoli'!$AG$5</c:f>
              <c:strCache>
                <c:ptCount val="1"/>
                <c:pt idx="0">
                  <c:v>Tulo 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tulopuoli'!$AG$7:$AG$11</c:f>
              <c:numCache>
                <c:formatCode>General</c:formatCode>
                <c:ptCount val="5"/>
                <c:pt idx="0">
                  <c:v>136.69999999999999</c:v>
                </c:pt>
                <c:pt idx="1">
                  <c:v>117.64999999999999</c:v>
                </c:pt>
                <c:pt idx="2">
                  <c:v>98.6</c:v>
                </c:pt>
                <c:pt idx="3">
                  <c:v>79.55</c:v>
                </c:pt>
                <c:pt idx="4">
                  <c:v>60.5</c:v>
                </c:pt>
              </c:numCache>
            </c:numRef>
          </c:xVal>
          <c:yVal>
            <c:numRef>
              <c:f>'Laskenta tulopuoli'!$AH$7:$AH$11</c:f>
              <c:numCache>
                <c:formatCode>0.0</c:formatCode>
                <c:ptCount val="5"/>
                <c:pt idx="0">
                  <c:v>1.0093894656381508</c:v>
                </c:pt>
                <c:pt idx="1">
                  <c:v>151.98855330579522</c:v>
                </c:pt>
                <c:pt idx="2">
                  <c:v>280.26161426664316</c:v>
                </c:pt>
                <c:pt idx="3">
                  <c:v>385.82857234818209</c:v>
                </c:pt>
                <c:pt idx="4">
                  <c:v>468.68942755041184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10D-46CF-AE71-9D03AB08EBF4}"/>
            </c:ext>
          </c:extLst>
        </c:ser>
        <c:ser>
          <c:idx val="2"/>
          <c:order val="2"/>
          <c:tx>
            <c:strRef>
              <c:f>'Laskenta tulopuoli'!$AI$5</c:f>
              <c:strCache>
                <c:ptCount val="1"/>
                <c:pt idx="0">
                  <c:v>Tulo 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tulopuoli'!$AI$7:$AI$11</c:f>
              <c:numCache>
                <c:formatCode>General</c:formatCode>
                <c:ptCount val="5"/>
                <c:pt idx="0">
                  <c:v>94.5</c:v>
                </c:pt>
                <c:pt idx="1">
                  <c:v>79.75</c:v>
                </c:pt>
                <c:pt idx="2">
                  <c:v>65</c:v>
                </c:pt>
                <c:pt idx="3">
                  <c:v>50.25</c:v>
                </c:pt>
                <c:pt idx="4">
                  <c:v>35.5</c:v>
                </c:pt>
              </c:numCache>
            </c:numRef>
          </c:xVal>
          <c:yVal>
            <c:numRef>
              <c:f>'Laskenta tulopuoli'!$AJ$7:$AJ$11</c:f>
              <c:numCache>
                <c:formatCode>0.0</c:formatCode>
                <c:ptCount val="5"/>
                <c:pt idx="0">
                  <c:v>0.22320526021258047</c:v>
                </c:pt>
                <c:pt idx="1">
                  <c:v>93.871740223736793</c:v>
                </c:pt>
                <c:pt idx="2">
                  <c:v>170.8382220962381</c:v>
                </c:pt>
                <c:pt idx="3">
                  <c:v>231.12265087771641</c:v>
                </c:pt>
                <c:pt idx="4">
                  <c:v>274.72502656817181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10D-46CF-AE71-9D03AB08EBF4}"/>
            </c:ext>
          </c:extLst>
        </c:ser>
        <c:ser>
          <c:idx val="3"/>
          <c:order val="3"/>
          <c:tx>
            <c:strRef>
              <c:f>'Laskenta tulopuoli'!$AK$5</c:f>
              <c:strCache>
                <c:ptCount val="1"/>
                <c:pt idx="0">
                  <c:v>Tulo 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tulopuoli'!$AK$7:$AK$11</c:f>
              <c:numCache>
                <c:formatCode>General</c:formatCode>
                <c:ptCount val="5"/>
                <c:pt idx="0">
                  <c:v>56.3</c:v>
                </c:pt>
                <c:pt idx="1">
                  <c:v>46.224999999999994</c:v>
                </c:pt>
                <c:pt idx="2">
                  <c:v>36.15</c:v>
                </c:pt>
                <c:pt idx="3">
                  <c:v>26.074999999999999</c:v>
                </c:pt>
                <c:pt idx="4">
                  <c:v>16</c:v>
                </c:pt>
              </c:numCache>
            </c:numRef>
          </c:xVal>
          <c:yVal>
            <c:numRef>
              <c:f>'Laskenta tulopuoli'!$AL$7:$AL$11</c:f>
              <c:numCache>
                <c:formatCode>0.0</c:formatCode>
                <c:ptCount val="5"/>
                <c:pt idx="0">
                  <c:v>0.89482256785268532</c:v>
                </c:pt>
                <c:pt idx="1">
                  <c:v>42.384310771395178</c:v>
                </c:pt>
                <c:pt idx="2">
                  <c:v>76.531928506020407</c:v>
                </c:pt>
                <c:pt idx="3">
                  <c:v>103.33767577172839</c:v>
                </c:pt>
                <c:pt idx="4">
                  <c:v>122.80155256851907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10D-46CF-AE71-9D03AB08EBF4}"/>
            </c:ext>
          </c:extLst>
        </c:ser>
        <c:ser>
          <c:idx val="4"/>
          <c:order val="4"/>
          <c:tx>
            <c:v>Tulo otsikot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76DB8872-9DD7-4869-9A32-75C7BAE2EBB5}" type="CELLRANGE">
                      <a:rPr lang="en-US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210D-46CF-AE71-9D03AB08EBF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95B6425-4F11-4DE4-A303-8CF9A5F4C39C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10D-46CF-AE71-9D03AB08EBF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527D38D-BE11-43AD-8D71-B54B8B78D761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10D-46CF-AE71-9D03AB08EBF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E5CD205-F650-41B5-B20E-F6D87790379D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10D-46CF-AE71-9D03AB08EB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FF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i-FI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'Laskenta tulopuoli'!$AF$15:$AF$18</c:f>
              <c:numCache>
                <c:formatCode>0.00</c:formatCode>
                <c:ptCount val="4"/>
                <c:pt idx="0">
                  <c:v>80.5</c:v>
                </c:pt>
                <c:pt idx="1">
                  <c:v>60.5</c:v>
                </c:pt>
                <c:pt idx="2">
                  <c:v>35.5</c:v>
                </c:pt>
                <c:pt idx="3">
                  <c:v>16</c:v>
                </c:pt>
              </c:numCache>
            </c:numRef>
          </c:xVal>
          <c:yVal>
            <c:numRef>
              <c:f>'Laskenta tulopuoli'!$AG$15:$AG$18</c:f>
              <c:numCache>
                <c:formatCode>0.00</c:formatCode>
                <c:ptCount val="4"/>
                <c:pt idx="0">
                  <c:v>623.49457205652197</c:v>
                </c:pt>
                <c:pt idx="1">
                  <c:v>468.68942755041184</c:v>
                </c:pt>
                <c:pt idx="2">
                  <c:v>274.72502656817181</c:v>
                </c:pt>
                <c:pt idx="3">
                  <c:v>124.80155256851907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'Laskenta tulopuoli'!$AE$15:$AE$18</c15:f>
                <c15:dlblRangeCache>
                  <c:ptCount val="4"/>
                  <c:pt idx="0">
                    <c:v>10 V</c:v>
                  </c:pt>
                  <c:pt idx="1">
                    <c:v>8 V</c:v>
                  </c:pt>
                  <c:pt idx="2">
                    <c:v>6 V</c:v>
                  </c:pt>
                  <c:pt idx="3">
                    <c:v>4 V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C-210D-46CF-AE71-9D03AB08EBF4}"/>
            </c:ext>
          </c:extLst>
        </c:ser>
        <c:ser>
          <c:idx val="5"/>
          <c:order val="5"/>
          <c:tx>
            <c:v>Tulo mitoituspiste</c:v>
          </c:tx>
          <c:spPr>
            <a:ln w="25400" cap="rnd">
              <a:noFill/>
              <a:round/>
            </a:ln>
            <a:effectLst/>
          </c:spPr>
          <c:marker>
            <c:symbol val="x"/>
            <c:size val="7"/>
            <c:spPr>
              <a:noFill/>
              <a:ln w="19050">
                <a:solidFill>
                  <a:srgbClr val="FF0000"/>
                </a:solidFill>
              </a:ln>
              <a:effectLst/>
            </c:spPr>
          </c:marker>
          <c:xVal>
            <c:numRef>
              <c:f>Tulostus!$J$36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Tulostus!$J$37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210D-46CF-AE71-9D03AB08EBF4}"/>
            </c:ext>
          </c:extLst>
        </c:ser>
        <c:ser>
          <c:idx val="6"/>
          <c:order val="6"/>
          <c:tx>
            <c:strRef>
              <c:f>'Laskenta poistopuoli'!$AE$5</c:f>
              <c:strCache>
                <c:ptCount val="1"/>
                <c:pt idx="0">
                  <c:v>Poisto 10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poistopuoli'!$AE$7:$AE$11</c:f>
              <c:numCache>
                <c:formatCode>General</c:formatCode>
                <c:ptCount val="5"/>
                <c:pt idx="0">
                  <c:v>167.5</c:v>
                </c:pt>
                <c:pt idx="1">
                  <c:v>146.875</c:v>
                </c:pt>
                <c:pt idx="2">
                  <c:v>126.25</c:v>
                </c:pt>
                <c:pt idx="3">
                  <c:v>105.625</c:v>
                </c:pt>
                <c:pt idx="4">
                  <c:v>85</c:v>
                </c:pt>
              </c:numCache>
            </c:numRef>
          </c:xVal>
          <c:yVal>
            <c:numRef>
              <c:f>'Laskenta poistopuoli'!$AF$7:$AF$11</c:f>
              <c:numCache>
                <c:formatCode>0.0</c:formatCode>
                <c:ptCount val="5"/>
                <c:pt idx="0">
                  <c:v>1.244738074246925</c:v>
                </c:pt>
                <c:pt idx="1">
                  <c:v>193.82588789080341</c:v>
                </c:pt>
                <c:pt idx="2">
                  <c:v>367.17104572012954</c:v>
                </c:pt>
                <c:pt idx="3">
                  <c:v>521.28021156222542</c:v>
                </c:pt>
                <c:pt idx="4">
                  <c:v>656.15338541709093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210D-46CF-AE71-9D03AB08EBF4}"/>
            </c:ext>
          </c:extLst>
        </c:ser>
        <c:ser>
          <c:idx val="7"/>
          <c:order val="7"/>
          <c:tx>
            <c:strRef>
              <c:f>'Laskenta poistopuoli'!$AG$5</c:f>
              <c:strCache>
                <c:ptCount val="1"/>
                <c:pt idx="0">
                  <c:v>Poisto 8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poistopuoli'!$AG$7:$AG$11</c:f>
              <c:numCache>
                <c:formatCode>General</c:formatCode>
                <c:ptCount val="5"/>
                <c:pt idx="0">
                  <c:v>141.6</c:v>
                </c:pt>
                <c:pt idx="1">
                  <c:v>122.19999999999999</c:v>
                </c:pt>
                <c:pt idx="2">
                  <c:v>102.8</c:v>
                </c:pt>
                <c:pt idx="3">
                  <c:v>83.4</c:v>
                </c:pt>
                <c:pt idx="4">
                  <c:v>64</c:v>
                </c:pt>
              </c:numCache>
            </c:numRef>
          </c:xVal>
          <c:yVal>
            <c:numRef>
              <c:f>'Laskenta poistopuoli'!$AH$7:$AH$11</c:f>
              <c:numCache>
                <c:formatCode>0.0</c:formatCode>
                <c:ptCount val="5"/>
                <c:pt idx="0">
                  <c:v>0.88547404721691692</c:v>
                </c:pt>
                <c:pt idx="1">
                  <c:v>163.70627796483774</c:v>
                </c:pt>
                <c:pt idx="2">
                  <c:v>300.45783012527761</c:v>
                </c:pt>
                <c:pt idx="3">
                  <c:v>411.14013052853682</c:v>
                </c:pt>
                <c:pt idx="4">
                  <c:v>495.75317917461535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210D-46CF-AE71-9D03AB08EBF4}"/>
            </c:ext>
          </c:extLst>
        </c:ser>
        <c:ser>
          <c:idx val="8"/>
          <c:order val="8"/>
          <c:tx>
            <c:strRef>
              <c:f>'Laskenta poistopuoli'!$AI$5</c:f>
              <c:strCache>
                <c:ptCount val="1"/>
                <c:pt idx="0">
                  <c:v>Poisto 6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poistopuoli'!$AI$7:$AI$11</c:f>
              <c:numCache>
                <c:formatCode>General</c:formatCode>
                <c:ptCount val="5"/>
                <c:pt idx="0">
                  <c:v>101.8</c:v>
                </c:pt>
                <c:pt idx="1">
                  <c:v>85.974999999999994</c:v>
                </c:pt>
                <c:pt idx="2">
                  <c:v>70.150000000000006</c:v>
                </c:pt>
                <c:pt idx="3">
                  <c:v>54.325000000000003</c:v>
                </c:pt>
                <c:pt idx="4">
                  <c:v>38.5</c:v>
                </c:pt>
              </c:numCache>
            </c:numRef>
          </c:xVal>
          <c:yVal>
            <c:numRef>
              <c:f>'Laskenta poistopuoli'!$AJ$7:$AJ$11</c:f>
              <c:numCache>
                <c:formatCode>0.0</c:formatCode>
                <c:ptCount val="5"/>
                <c:pt idx="0">
                  <c:v>1.1071270985254955</c:v>
                </c:pt>
                <c:pt idx="1">
                  <c:v>103.97712028914458</c:v>
                </c:pt>
                <c:pt idx="2">
                  <c:v>187.33160014037577</c:v>
                </c:pt>
                <c:pt idx="3">
                  <c:v>251.17056665221935</c:v>
                </c:pt>
                <c:pt idx="4">
                  <c:v>295.49401982467521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210D-46CF-AE71-9D03AB08EBF4}"/>
            </c:ext>
          </c:extLst>
        </c:ser>
        <c:ser>
          <c:idx val="9"/>
          <c:order val="9"/>
          <c:tx>
            <c:strRef>
              <c:f>'Laskenta poistopuoli'!$AK$5</c:f>
              <c:strCache>
                <c:ptCount val="1"/>
                <c:pt idx="0">
                  <c:v>Poisto 4 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'Laskenta poistopuoli'!$AK$7:$AK$11</c:f>
              <c:numCache>
                <c:formatCode>General</c:formatCode>
                <c:ptCount val="5"/>
                <c:pt idx="0">
                  <c:v>64</c:v>
                </c:pt>
                <c:pt idx="1">
                  <c:v>52.5</c:v>
                </c:pt>
                <c:pt idx="2">
                  <c:v>41</c:v>
                </c:pt>
                <c:pt idx="3">
                  <c:v>29.5</c:v>
                </c:pt>
                <c:pt idx="4">
                  <c:v>18</c:v>
                </c:pt>
              </c:numCache>
            </c:numRef>
          </c:xVal>
          <c:yVal>
            <c:numRef>
              <c:f>'Laskenta poistopuoli'!$AL$7:$AL$11</c:f>
              <c:numCache>
                <c:formatCode>0.0</c:formatCode>
                <c:ptCount val="5"/>
                <c:pt idx="0">
                  <c:v>0.6775740691473402</c:v>
                </c:pt>
                <c:pt idx="1">
                  <c:v>49.918115313974027</c:v>
                </c:pt>
                <c:pt idx="2">
                  <c:v>88.093885294251052</c:v>
                </c:pt>
                <c:pt idx="3">
                  <c:v>115.20488400997843</c:v>
                </c:pt>
                <c:pt idx="4">
                  <c:v>131.25111146115614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210D-46CF-AE71-9D03AB08EBF4}"/>
            </c:ext>
          </c:extLst>
        </c:ser>
        <c:ser>
          <c:idx val="10"/>
          <c:order val="10"/>
          <c:tx>
            <c:v>Poisto otsikot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E19C2F15-380E-4BEF-97E6-9AB2F3B4492D}" type="CELLRANGE">
                      <a:rPr lang="en-US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210D-46CF-AE71-9D03AB08EBF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9F6A486-451A-468F-822E-9BB805A53316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210D-46CF-AE71-9D03AB08EBF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9C5BC80-AA9C-4DF0-B0C3-57B63C7DF423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210D-46CF-AE71-9D03AB08EBF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FBE30CF-557B-42CA-A865-863212569248}" type="CELLRANGE">
                      <a:rPr lang="fi-FI"/>
                      <a:pPr/>
                      <a:t>[SOLUALUE]</a:t>
                    </a:fld>
                    <a:endParaRPr lang="fi-FI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210D-46CF-AE71-9D03AB08EB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i-FI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'Laskenta poistopuoli'!$AF$15:$AF$18</c:f>
              <c:numCache>
                <c:formatCode>0.00</c:formatCode>
                <c:ptCount val="4"/>
                <c:pt idx="0">
                  <c:v>85</c:v>
                </c:pt>
                <c:pt idx="1">
                  <c:v>64</c:v>
                </c:pt>
                <c:pt idx="2">
                  <c:v>38.5</c:v>
                </c:pt>
                <c:pt idx="3">
                  <c:v>18</c:v>
                </c:pt>
              </c:numCache>
            </c:numRef>
          </c:xVal>
          <c:yVal>
            <c:numRef>
              <c:f>'Laskenta poistopuoli'!$AG$15:$AG$18</c:f>
              <c:numCache>
                <c:formatCode>0.00</c:formatCode>
                <c:ptCount val="4"/>
                <c:pt idx="0">
                  <c:v>656.15338541709093</c:v>
                </c:pt>
                <c:pt idx="1">
                  <c:v>495.75317917461535</c:v>
                </c:pt>
                <c:pt idx="2">
                  <c:v>295.49401982467521</c:v>
                </c:pt>
                <c:pt idx="3">
                  <c:v>141.25111146115614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'Laskenta poistopuoli_W'!$C$77:$C$81</c15:f>
                <c15:dlblRangeCache>
                  <c:ptCount val="5"/>
                  <c:pt idx="0">
                    <c:v>10 V</c:v>
                  </c:pt>
                  <c:pt idx="1">
                    <c:v>8 V</c:v>
                  </c:pt>
                  <c:pt idx="2">
                    <c:v>6 V</c:v>
                  </c:pt>
                  <c:pt idx="3">
                    <c:v>4 V</c:v>
                  </c:pt>
                  <c:pt idx="4">
                    <c:v>2 V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A-210D-46CF-AE71-9D03AB08EBF4}"/>
            </c:ext>
          </c:extLst>
        </c:ser>
        <c:ser>
          <c:idx val="11"/>
          <c:order val="11"/>
          <c:tx>
            <c:v>Poisto mitoituspiste</c:v>
          </c:tx>
          <c:spPr>
            <a:ln w="25400" cap="rnd">
              <a:noFill/>
              <a:round/>
            </a:ln>
            <a:effectLst/>
          </c:spPr>
          <c:marker>
            <c:symbol val="x"/>
            <c:size val="7"/>
            <c:spPr>
              <a:noFill/>
              <a:ln w="19050">
                <a:solidFill>
                  <a:schemeClr val="tx1"/>
                </a:solidFill>
              </a:ln>
              <a:effectLst/>
            </c:spPr>
          </c:marker>
          <c:xVal>
            <c:numRef>
              <c:f>Tulostus!$L$36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Tulostus!$L$37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210D-46CF-AE71-9D03AB08EBF4}"/>
            </c:ext>
          </c:extLst>
        </c:ser>
        <c:ser>
          <c:idx val="12"/>
          <c:order val="12"/>
          <c:tx>
            <c:strRef>
              <c:f>'SFP ja kokonaisteho'!$O$2</c:f>
              <c:strCache>
                <c:ptCount val="1"/>
                <c:pt idx="0">
                  <c:v>SFP =
 1,8 kW/m³/s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xVal>
            <c:numRef>
              <c:f>'SFP ja kokonaisteho'!$O$5:$O$16</c:f>
              <c:numCache>
                <c:formatCode>General</c:formatCode>
                <c:ptCount val="12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70</c:v>
                </c:pt>
                <c:pt idx="6">
                  <c:v>90</c:v>
                </c:pt>
                <c:pt idx="7">
                  <c:v>110</c:v>
                </c:pt>
                <c:pt idx="8">
                  <c:v>130</c:v>
                </c:pt>
                <c:pt idx="9">
                  <c:v>140</c:v>
                </c:pt>
                <c:pt idx="10">
                  <c:v>145</c:v>
                </c:pt>
                <c:pt idx="11">
                  <c:v>148</c:v>
                </c:pt>
              </c:numCache>
            </c:numRef>
          </c:xVal>
          <c:yVal>
            <c:numRef>
              <c:f>'SFP ja kokonaisteho'!$P$5:$P$16</c:f>
              <c:numCache>
                <c:formatCode>General</c:formatCode>
                <c:ptCount val="12"/>
                <c:pt idx="0">
                  <c:v>4</c:v>
                </c:pt>
                <c:pt idx="1">
                  <c:v>100</c:v>
                </c:pt>
                <c:pt idx="2">
                  <c:v>148.9</c:v>
                </c:pt>
                <c:pt idx="3">
                  <c:v>191.2</c:v>
                </c:pt>
                <c:pt idx="4">
                  <c:v>206.8</c:v>
                </c:pt>
                <c:pt idx="5">
                  <c:v>205.6</c:v>
                </c:pt>
                <c:pt idx="6">
                  <c:v>181.5</c:v>
                </c:pt>
                <c:pt idx="7">
                  <c:v>134.69999999999999</c:v>
                </c:pt>
                <c:pt idx="8">
                  <c:v>70.2</c:v>
                </c:pt>
                <c:pt idx="9">
                  <c:v>31.2</c:v>
                </c:pt>
                <c:pt idx="10">
                  <c:v>10</c:v>
                </c:pt>
                <c:pt idx="11">
                  <c:v>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C-210D-46CF-AE71-9D03AB08EBF4}"/>
            </c:ext>
          </c:extLst>
        </c:ser>
        <c:ser>
          <c:idx val="13"/>
          <c:order val="13"/>
          <c:tx>
            <c:v>SFP otsikko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04F55BC3-F790-4552-A903-F66CB41A2C56}" type="CELLRANGE">
                      <a:rPr lang="en-US"/>
                      <a:pPr/>
                      <a:t>[SOLUALUE]</a:t>
                    </a:fld>
                    <a:endParaRPr lang="fi-FI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210D-46CF-AE71-9D03AB08EB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fi-FI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'SFP ja kokonaisteho'!$O$20</c:f>
              <c:numCache>
                <c:formatCode>General</c:formatCode>
                <c:ptCount val="1"/>
                <c:pt idx="0">
                  <c:v>75</c:v>
                </c:pt>
              </c:numCache>
            </c:numRef>
          </c:xVal>
          <c:yVal>
            <c:numRef>
              <c:f>'SFP ja kokonaisteho'!$P$20</c:f>
              <c:numCache>
                <c:formatCode>General</c:formatCode>
                <c:ptCount val="1"/>
                <c:pt idx="0">
                  <c:v>210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'SFP ja kokonaisteho'!$O$2</c15:f>
                <c15:dlblRangeCache>
                  <c:ptCount val="1"/>
                  <c:pt idx="0">
                    <c:v>SFP =
 1,8 kW/m³/s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E-210D-46CF-AE71-9D03AB08EBF4}"/>
            </c:ext>
          </c:extLst>
        </c:ser>
        <c:ser>
          <c:idx val="16"/>
          <c:order val="14"/>
          <c:tx>
            <c:v>Verkkokäyrä tulo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power"/>
            <c:dispRSqr val="0"/>
            <c:dispEq val="0"/>
          </c:trendline>
          <c:xVal>
            <c:numRef>
              <c:f>'Laskenta tulopuoli'!$O$45:$O$53</c:f>
              <c:numCache>
                <c:formatCode>0.00</c:formatCode>
                <c:ptCount val="9"/>
                <c:pt idx="0">
                  <c:v>145.65364378431303</c:v>
                </c:pt>
                <c:pt idx="1">
                  <c:v>123.49583115646229</c:v>
                </c:pt>
                <c:pt idx="2">
                  <c:v>86.508692556320128</c:v>
                </c:pt>
                <c:pt idx="3">
                  <c:v>52.069137848972048</c:v>
                </c:pt>
                <c:pt idx="4">
                  <c:v>19.084095863382036</c:v>
                </c:pt>
                <c:pt idx="5" formatCode="General">
                  <c:v>5</c:v>
                </c:pt>
              </c:numCache>
            </c:numRef>
          </c:xVal>
          <c:yVal>
            <c:numRef>
              <c:f>'Laskenta tulopuoli'!$P$45:$P$53</c:f>
              <c:numCache>
                <c:formatCode>0.0</c:formatCode>
                <c:ptCount val="9"/>
                <c:pt idx="0">
                  <c:v>150.33293613695827</c:v>
                </c:pt>
                <c:pt idx="1">
                  <c:v>108.07270629978346</c:v>
                </c:pt>
                <c:pt idx="2">
                  <c:v>53.031135826274927</c:v>
                </c:pt>
                <c:pt idx="3">
                  <c:v>19.211983534121693</c:v>
                </c:pt>
                <c:pt idx="4">
                  <c:v>2.5808015513233795</c:v>
                </c:pt>
                <c:pt idx="5" formatCode="General">
                  <c:v>0.17715419501133789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210D-46CF-AE71-9D03AB08EBF4}"/>
            </c:ext>
          </c:extLst>
        </c:ser>
        <c:ser>
          <c:idx val="17"/>
          <c:order val="15"/>
          <c:tx>
            <c:v>Verkkokäyrä poisto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power"/>
            <c:dispRSqr val="0"/>
            <c:dispEq val="0"/>
          </c:trendline>
          <c:xVal>
            <c:numRef>
              <c:f>'Laskenta poistopuoli'!$O$45:$O$50</c:f>
              <c:numCache>
                <c:formatCode>0.00</c:formatCode>
                <c:ptCount val="6"/>
                <c:pt idx="0">
                  <c:v>150.57772069495383</c:v>
                </c:pt>
                <c:pt idx="1">
                  <c:v>128.16693998999935</c:v>
                </c:pt>
                <c:pt idx="2">
                  <c:v>92.926642758702698</c:v>
                </c:pt>
                <c:pt idx="3">
                  <c:v>58.763814207834933</c:v>
                </c:pt>
                <c:pt idx="4">
                  <c:v>24.841612180719387</c:v>
                </c:pt>
                <c:pt idx="5" formatCode="General">
                  <c:v>5</c:v>
                </c:pt>
              </c:numCache>
            </c:numRef>
          </c:xVal>
          <c:yVal>
            <c:numRef>
              <c:f>'Laskenta poistopuoli'!$P$45:$P$50</c:f>
              <c:numCache>
                <c:formatCode>0.0</c:formatCode>
                <c:ptCount val="6"/>
                <c:pt idx="0">
                  <c:v>160.66928833395357</c:v>
                </c:pt>
                <c:pt idx="1">
                  <c:v>116.40280971088502</c:v>
                </c:pt>
                <c:pt idx="2">
                  <c:v>61.191616598664631</c:v>
                </c:pt>
                <c:pt idx="3">
                  <c:v>24.469854451905775</c:v>
                </c:pt>
                <c:pt idx="4">
                  <c:v>4.3729145106098768</c:v>
                </c:pt>
                <c:pt idx="5" formatCode="General">
                  <c:v>0.17715419501133789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210D-46CF-AE71-9D03AB08EBF4}"/>
            </c:ext>
          </c:extLst>
        </c:ser>
        <c:ser>
          <c:idx val="14"/>
          <c:order val="17"/>
          <c:tx>
            <c:v>Mittauspisteet tulo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'Laskenta äänitehotasot'!$C$8:$C$23</c:f>
              <c:numCache>
                <c:formatCode>0.0</c:formatCode>
                <c:ptCount val="16"/>
                <c:pt idx="0">
                  <c:v>151.04411971073372</c:v>
                </c:pt>
                <c:pt idx="1">
                  <c:v>136.93812754583607</c:v>
                </c:pt>
                <c:pt idx="2">
                  <c:v>121.79570529137803</c:v>
                </c:pt>
                <c:pt idx="3">
                  <c:v>103.91330211422635</c:v>
                </c:pt>
                <c:pt idx="4">
                  <c:v>127.75708105116436</c:v>
                </c:pt>
                <c:pt idx="5">
                  <c:v>116.42396786050477</c:v>
                </c:pt>
                <c:pt idx="6">
                  <c:v>103.10986018671835</c:v>
                </c:pt>
                <c:pt idx="7">
                  <c:v>87.336054084249838</c:v>
                </c:pt>
                <c:pt idx="8">
                  <c:v>88.788078943155</c:v>
                </c:pt>
                <c:pt idx="9">
                  <c:v>81.733506658449841</c:v>
                </c:pt>
                <c:pt idx="10">
                  <c:v>73.137106451144177</c:v>
                </c:pt>
                <c:pt idx="11">
                  <c:v>62.463574142312737</c:v>
                </c:pt>
                <c:pt idx="12">
                  <c:v>53.251415455377767</c:v>
                </c:pt>
                <c:pt idx="13">
                  <c:v>49.219569997287564</c:v>
                </c:pt>
                <c:pt idx="14">
                  <c:v>44.451052803998685</c:v>
                </c:pt>
                <c:pt idx="15">
                  <c:v>38.270824043288314</c:v>
                </c:pt>
              </c:numCache>
            </c:numRef>
          </c:xVal>
          <c:yVal>
            <c:numRef>
              <c:f>'Laskenta äänitehotasot'!$D$8:$D$23</c:f>
              <c:numCache>
                <c:formatCode>0.0</c:formatCode>
                <c:ptCount val="16"/>
                <c:pt idx="0">
                  <c:v>105.50215381097108</c:v>
                </c:pt>
                <c:pt idx="1">
                  <c:v>222.12410852266589</c:v>
                </c:pt>
                <c:pt idx="2">
                  <c:v>339.63005262288209</c:v>
                </c:pt>
                <c:pt idx="3">
                  <c:v>469.97003170522618</c:v>
                </c:pt>
                <c:pt idx="4">
                  <c:v>76.789748357043052</c:v>
                </c:pt>
                <c:pt idx="5">
                  <c:v>162.9238946254606</c:v>
                </c:pt>
                <c:pt idx="6">
                  <c:v>250.62899923439232</c:v>
                </c:pt>
                <c:pt idx="7">
                  <c:v>342.02617646707489</c:v>
                </c:pt>
                <c:pt idx="8">
                  <c:v>39.743609124490369</c:v>
                </c:pt>
                <c:pt idx="9">
                  <c:v>84.296604519218192</c:v>
                </c:pt>
                <c:pt idx="10">
                  <c:v>130.66124013171594</c:v>
                </c:pt>
                <c:pt idx="11">
                  <c:v>180.53564477885135</c:v>
                </c:pt>
                <c:pt idx="12">
                  <c:v>14.652642386229754</c:v>
                </c:pt>
                <c:pt idx="13">
                  <c:v>32.244088908008287</c:v>
                </c:pt>
                <c:pt idx="14">
                  <c:v>49.933365723620902</c:v>
                </c:pt>
                <c:pt idx="15">
                  <c:v>69.716154302435584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210D-46CF-AE71-9D03AB08EBF4}"/>
            </c:ext>
          </c:extLst>
        </c:ser>
        <c:ser>
          <c:idx val="15"/>
          <c:order val="18"/>
          <c:tx>
            <c:v>Mittasupisteet ulko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2">
                  <a:lumMod val="40000"/>
                  <a:lumOff val="6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'Laskenta äänitehotasot'!$C$32:$C$47</c:f>
              <c:numCache>
                <c:formatCode>0.0</c:formatCode>
                <c:ptCount val="16"/>
                <c:pt idx="0">
                  <c:v>151.40937714925482</c:v>
                </c:pt>
                <c:pt idx="1">
                  <c:v>136.37637263082664</c:v>
                </c:pt>
                <c:pt idx="2">
                  <c:v>121.08623921696152</c:v>
                </c:pt>
                <c:pt idx="3">
                  <c:v>105.31714134721213</c:v>
                </c:pt>
                <c:pt idx="4">
                  <c:v>128.18424851276751</c:v>
                </c:pt>
                <c:pt idx="5">
                  <c:v>116.15075925701436</c:v>
                </c:pt>
                <c:pt idx="6">
                  <c:v>103.262888907129</c:v>
                </c:pt>
                <c:pt idx="7">
                  <c:v>89.53339232914351</c:v>
                </c:pt>
                <c:pt idx="8">
                  <c:v>89.083668744316583</c:v>
                </c:pt>
                <c:pt idx="9">
                  <c:v>81.635487491799807</c:v>
                </c:pt>
                <c:pt idx="10">
                  <c:v>73.240485179787271</c:v>
                </c:pt>
                <c:pt idx="11">
                  <c:v>64.145790177209165</c:v>
                </c:pt>
                <c:pt idx="12">
                  <c:v>53.45618779061126</c:v>
                </c:pt>
                <c:pt idx="13">
                  <c:v>49.393908312321557</c:v>
                </c:pt>
                <c:pt idx="14">
                  <c:v>44.571180207634491</c:v>
                </c:pt>
                <c:pt idx="15">
                  <c:v>39.396985201335021</c:v>
                </c:pt>
              </c:numCache>
            </c:numRef>
          </c:xVal>
          <c:yVal>
            <c:numRef>
              <c:f>'Laskenta äänitehotasot'!$D$32:$D$47</c:f>
              <c:numCache>
                <c:formatCode>0.0</c:formatCode>
                <c:ptCount val="16"/>
                <c:pt idx="0">
                  <c:v>102.37757880274451</c:v>
                </c:pt>
                <c:pt idx="1">
                  <c:v>226.61626561362726</c:v>
                </c:pt>
                <c:pt idx="2">
                  <c:v>344.96426720948057</c:v>
                </c:pt>
                <c:pt idx="3">
                  <c:v>460.03002480329371</c:v>
                </c:pt>
                <c:pt idx="4">
                  <c:v>73.263269036000509</c:v>
                </c:pt>
                <c:pt idx="5">
                  <c:v>164.85021384002255</c:v>
                </c:pt>
                <c:pt idx="6">
                  <c:v>249.68371212846756</c:v>
                </c:pt>
                <c:pt idx="7">
                  <c:v>329.93691983355029</c:v>
                </c:pt>
                <c:pt idx="8">
                  <c:v>37.697502335033079</c:v>
                </c:pt>
                <c:pt idx="9">
                  <c:v>84.867217742327568</c:v>
                </c:pt>
                <c:pt idx="10">
                  <c:v>130.14186941970618</c:v>
                </c:pt>
                <c:pt idx="11">
                  <c:v>173.11183005338415</c:v>
                </c:pt>
                <c:pt idx="12">
                  <c:v>13.667846836916983</c:v>
                </c:pt>
                <c:pt idx="13">
                  <c:v>31.542598956990631</c:v>
                </c:pt>
                <c:pt idx="14">
                  <c:v>49.518175961573718</c:v>
                </c:pt>
                <c:pt idx="15">
                  <c:v>66.314893351683125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210D-46CF-AE71-9D03AB08E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70080"/>
        <c:axId val="486575072"/>
        <c:extLst>
          <c:ext xmlns:c15="http://schemas.microsoft.com/office/drawing/2012/chart" uri="{02D57815-91ED-43cb-92C2-25804820EDAC}">
            <c15:filteredScatterSeries>
              <c15:ser>
                <c:idx val="18"/>
                <c:order val="16"/>
                <c:tx>
                  <c:v>Yläraja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none"/>
                </c:marker>
                <c:trendline>
                  <c:spPr>
                    <a:ln w="19050" cap="rnd">
                      <a:solidFill>
                        <a:schemeClr val="bg1">
                          <a:lumMod val="75000"/>
                        </a:schemeClr>
                      </a:solidFill>
                      <a:prstDash val="dash"/>
                    </a:ln>
                    <a:effectLst/>
                  </c:spPr>
                  <c:trendlineType val="linear"/>
                  <c:dispRSqr val="0"/>
                  <c:dispEq val="0"/>
                </c:trendline>
                <c:xVal>
                  <c:numRef>
                    <c:extLst>
                      <c:ext uri="{02D57815-91ED-43cb-92C2-25804820EDAC}">
                        <c15:formulaRef>
                          <c15:sqref>'Laskenta tulopuoli'!$I$82:$I$85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5</c:v>
                      </c:pt>
                      <c:pt idx="1">
                        <c:v>31.666666666666668</c:v>
                      </c:pt>
                      <c:pt idx="2">
                        <c:v>58.333333333333336</c:v>
                      </c:pt>
                      <c:pt idx="3">
                        <c:v>85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'Laskenta tulopuoli'!$J$82:$J$85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38.823529411764703</c:v>
                      </c:pt>
                      <c:pt idx="1">
                        <c:v>245.88235294117649</c:v>
                      </c:pt>
                      <c:pt idx="2">
                        <c:v>452.94117647058823</c:v>
                      </c:pt>
                      <c:pt idx="3">
                        <c:v>660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24-210D-46CF-AE71-9D03AB08EBF4}"/>
                  </c:ext>
                </c:extLst>
              </c15:ser>
            </c15:filteredScatterSeries>
          </c:ext>
        </c:extLst>
      </c:scatterChart>
      <c:valAx>
        <c:axId val="486570080"/>
        <c:scaling>
          <c:orientation val="minMax"/>
          <c:max val="1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r>
                  <a:rPr lang="fi-FI"/>
                  <a:t>Ilman 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entury Gothic" panose="020B0502020202020204" pitchFamily="34" charset="0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i-FI"/>
          </a:p>
        </c:txPr>
        <c:crossAx val="486575072"/>
        <c:crosses val="autoZero"/>
        <c:crossBetween val="midCat"/>
        <c:minorUnit val="10"/>
      </c:valAx>
      <c:valAx>
        <c:axId val="486575072"/>
        <c:scaling>
          <c:orientation val="minMax"/>
          <c:max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r>
                  <a:rPr lang="fi-FI"/>
                  <a:t>Paine-ero P</a:t>
                </a:r>
                <a:r>
                  <a:rPr lang="fi-FI" baseline="-25000"/>
                  <a:t>f</a:t>
                </a:r>
                <a:r>
                  <a:rPr lang="fi-FI"/>
                  <a:t> [Pa]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entury Gothic" panose="020B0502020202020204" pitchFamily="34" charset="0"/>
                  <a:ea typeface="+mn-ea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fi-FI"/>
          </a:p>
        </c:txPr>
        <c:crossAx val="486570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Kennon LT-hyötysuhde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Mitattu hyötysuhde</c:v>
          </c:tx>
          <c:spPr>
            <a:ln w="1905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4.4678269502276234E-2"/>
                  <c:y val="-0.1214929266211287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i-FI"/>
                </a:p>
              </c:txPr>
            </c:trendlineLbl>
          </c:trendline>
          <c:xVal>
            <c:numRef>
              <c:f>'LTO-kennon HS'!$D$13:$D$16</c:f>
              <c:numCache>
                <c:formatCode>General</c:formatCode>
                <c:ptCount val="4"/>
                <c:pt idx="0">
                  <c:v>29.4</c:v>
                </c:pt>
                <c:pt idx="1">
                  <c:v>60.35</c:v>
                </c:pt>
                <c:pt idx="2">
                  <c:v>92.15</c:v>
                </c:pt>
                <c:pt idx="3">
                  <c:v>123.45</c:v>
                </c:pt>
              </c:numCache>
            </c:numRef>
          </c:xVal>
          <c:yVal>
            <c:numRef>
              <c:f>'LTO-kennon HS'!$F$13:$F$16</c:f>
              <c:numCache>
                <c:formatCode>General</c:formatCode>
                <c:ptCount val="4"/>
                <c:pt idx="0">
                  <c:v>86.5</c:v>
                </c:pt>
                <c:pt idx="1">
                  <c:v>85.1</c:v>
                </c:pt>
                <c:pt idx="2" formatCode="0.0">
                  <c:v>84.5</c:v>
                </c:pt>
                <c:pt idx="3">
                  <c:v>84.7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780-4A29-AA58-4E4477CDF2D3}"/>
            </c:ext>
          </c:extLst>
        </c:ser>
        <c:ser>
          <c:idx val="1"/>
          <c:order val="1"/>
          <c:tx>
            <c:v>Toimintapiste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noFill/>
              <a:ln w="19050">
                <a:solidFill>
                  <a:schemeClr val="tx1"/>
                </a:solidFill>
              </a:ln>
              <a:effectLst/>
            </c:spPr>
          </c:marker>
          <c:xVal>
            <c:numRef>
              <c:f>'LTO-kennon HS'!$J$25</c:f>
              <c:numCache>
                <c:formatCode>General</c:formatCode>
                <c:ptCount val="1"/>
                <c:pt idx="0">
                  <c:v>84</c:v>
                </c:pt>
              </c:numCache>
            </c:numRef>
          </c:xVal>
          <c:yVal>
            <c:numRef>
              <c:f>'LTO-kennon HS'!$K$25</c:f>
              <c:numCache>
                <c:formatCode>0.00</c:formatCode>
                <c:ptCount val="1"/>
                <c:pt idx="0">
                  <c:v>84.571850485140274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780-4A29-AA58-4E4477CDF2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3986735"/>
        <c:axId val="791298143"/>
      </c:scatterChart>
      <c:valAx>
        <c:axId val="7939867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Tuloilman tilavuusvirta [dm³/s]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91298143"/>
        <c:crosses val="autoZero"/>
        <c:crossBetween val="midCat"/>
      </c:valAx>
      <c:valAx>
        <c:axId val="791298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i-FI"/>
                  <a:t>LT-hyötysuhde, kuiva [%]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i-F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7939867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Tulo 10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Validointi!$J$36:$Q$36</c:f>
              <c:numCache>
                <c:formatCode>General</c:formatCode>
                <c:ptCount val="8"/>
                <c:pt idx="0">
                  <c:v>75.599999999999994</c:v>
                </c:pt>
                <c:pt idx="1">
                  <c:v>72.099999999999994</c:v>
                </c:pt>
                <c:pt idx="2">
                  <c:v>69.2</c:v>
                </c:pt>
                <c:pt idx="3">
                  <c:v>76.900000000000006</c:v>
                </c:pt>
                <c:pt idx="4">
                  <c:v>63.1</c:v>
                </c:pt>
                <c:pt idx="5">
                  <c:v>62</c:v>
                </c:pt>
                <c:pt idx="6">
                  <c:v>60.4</c:v>
                </c:pt>
                <c:pt idx="7">
                  <c:v>50.4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B9-466F-8F23-2EB68DE146A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Validointi!$J$37:$Q$37</c:f>
              <c:numCache>
                <c:formatCode>0.0</c:formatCode>
                <c:ptCount val="8"/>
                <c:pt idx="0">
                  <c:v>74.770792229600545</c:v>
                </c:pt>
                <c:pt idx="1">
                  <c:v>71.770792229600545</c:v>
                </c:pt>
                <c:pt idx="2">
                  <c:v>68.770792229600545</c:v>
                </c:pt>
                <c:pt idx="3">
                  <c:v>74.770792229600545</c:v>
                </c:pt>
                <c:pt idx="4">
                  <c:v>62.770792229600545</c:v>
                </c:pt>
                <c:pt idx="5">
                  <c:v>61.770792229600545</c:v>
                </c:pt>
                <c:pt idx="6">
                  <c:v>60.770792229600545</c:v>
                </c:pt>
                <c:pt idx="7">
                  <c:v>50.770792229600545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B9-466F-8F23-2EB68DE14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Tulo 6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Validointi!$J$42:$Q$42</c:f>
              <c:numCache>
                <c:formatCode>General</c:formatCode>
                <c:ptCount val="8"/>
                <c:pt idx="0">
                  <c:v>64.400000000000006</c:v>
                </c:pt>
                <c:pt idx="1">
                  <c:v>64.599999999999994</c:v>
                </c:pt>
                <c:pt idx="2">
                  <c:v>65</c:v>
                </c:pt>
                <c:pt idx="3">
                  <c:v>60.8</c:v>
                </c:pt>
                <c:pt idx="4">
                  <c:v>53.6</c:v>
                </c:pt>
                <c:pt idx="5">
                  <c:v>52.9</c:v>
                </c:pt>
                <c:pt idx="6">
                  <c:v>48.6</c:v>
                </c:pt>
                <c:pt idx="7">
                  <c:v>37.4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4F-42A1-AEAA-31AB93FAD261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Validointi!$J$43:$Q$43</c:f>
              <c:numCache>
                <c:formatCode>0.0</c:formatCode>
                <c:ptCount val="8"/>
                <c:pt idx="0">
                  <c:v>64.156065975469957</c:v>
                </c:pt>
                <c:pt idx="1">
                  <c:v>64.156065975469957</c:v>
                </c:pt>
                <c:pt idx="2">
                  <c:v>67.156065975469957</c:v>
                </c:pt>
                <c:pt idx="3">
                  <c:v>61.156065975469957</c:v>
                </c:pt>
                <c:pt idx="4">
                  <c:v>53.156065975469957</c:v>
                </c:pt>
                <c:pt idx="5">
                  <c:v>52.156065975469957</c:v>
                </c:pt>
                <c:pt idx="6">
                  <c:v>48.156065975469957</c:v>
                </c:pt>
                <c:pt idx="7">
                  <c:v>37.156065975469957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4F-42A1-AEAA-31AB93FAD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Tulo 4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Validointi!$J$48:$Q$48</c:f>
              <c:numCache>
                <c:formatCode>General</c:formatCode>
                <c:ptCount val="8"/>
                <c:pt idx="0">
                  <c:v>56.8</c:v>
                </c:pt>
                <c:pt idx="1">
                  <c:v>60.4</c:v>
                </c:pt>
                <c:pt idx="2">
                  <c:v>62.9</c:v>
                </c:pt>
                <c:pt idx="3">
                  <c:v>50.8</c:v>
                </c:pt>
                <c:pt idx="4">
                  <c:v>44.9</c:v>
                </c:pt>
                <c:pt idx="5">
                  <c:v>42</c:v>
                </c:pt>
                <c:pt idx="6">
                  <c:v>36.700000000000003</c:v>
                </c:pt>
                <c:pt idx="7">
                  <c:v>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AE-4CBE-971C-911BDB0221D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Validointi!$J$49:$Q$49</c:f>
              <c:numCache>
                <c:formatCode>0.0</c:formatCode>
                <c:ptCount val="8"/>
                <c:pt idx="0">
                  <c:v>57.008444975790255</c:v>
                </c:pt>
                <c:pt idx="1">
                  <c:v>59.008444975790255</c:v>
                </c:pt>
                <c:pt idx="2">
                  <c:v>61.008444975790255</c:v>
                </c:pt>
                <c:pt idx="3">
                  <c:v>51.008444975790255</c:v>
                </c:pt>
                <c:pt idx="4">
                  <c:v>45.008444975790255</c:v>
                </c:pt>
                <c:pt idx="5">
                  <c:v>42.008444975790255</c:v>
                </c:pt>
                <c:pt idx="6">
                  <c:v>37.008444975790255</c:v>
                </c:pt>
                <c:pt idx="7">
                  <c:v>25.008444975790255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E-4CBE-971C-911BDB022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Poisto 8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Validointi!$J$54:$Q$54</c:f>
              <c:numCache>
                <c:formatCode>General</c:formatCode>
                <c:ptCount val="8"/>
                <c:pt idx="0">
                  <c:v>68.2</c:v>
                </c:pt>
                <c:pt idx="1">
                  <c:v>67.599999999999994</c:v>
                </c:pt>
                <c:pt idx="2">
                  <c:v>67.900000000000006</c:v>
                </c:pt>
                <c:pt idx="3">
                  <c:v>61</c:v>
                </c:pt>
                <c:pt idx="4">
                  <c:v>54.5</c:v>
                </c:pt>
                <c:pt idx="5">
                  <c:v>48.5</c:v>
                </c:pt>
                <c:pt idx="6">
                  <c:v>38.5</c:v>
                </c:pt>
                <c:pt idx="7">
                  <c:v>28.4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FC-4F91-B069-287778BD9243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Validointi!$J$55:$Q$55</c:f>
              <c:numCache>
                <c:formatCode>0.0</c:formatCode>
                <c:ptCount val="8"/>
                <c:pt idx="0">
                  <c:v>70.990153270884832</c:v>
                </c:pt>
                <c:pt idx="1">
                  <c:v>67.990153270884832</c:v>
                </c:pt>
                <c:pt idx="2">
                  <c:v>64.990153270884832</c:v>
                </c:pt>
                <c:pt idx="3">
                  <c:v>62.990153270884832</c:v>
                </c:pt>
                <c:pt idx="4">
                  <c:v>56.990153270884832</c:v>
                </c:pt>
                <c:pt idx="5">
                  <c:v>49.990153270884832</c:v>
                </c:pt>
                <c:pt idx="6">
                  <c:v>41.990153270884832</c:v>
                </c:pt>
                <c:pt idx="7">
                  <c:v>30.990153270884832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FC-4F91-B069-287778BD92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Poisto 4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Validointi!$J$60:$Q$60</c:f>
              <c:numCache>
                <c:formatCode>General</c:formatCode>
                <c:ptCount val="8"/>
                <c:pt idx="0">
                  <c:v>63.5</c:v>
                </c:pt>
                <c:pt idx="1">
                  <c:v>63.1</c:v>
                </c:pt>
                <c:pt idx="2">
                  <c:v>63</c:v>
                </c:pt>
                <c:pt idx="3">
                  <c:v>63</c:v>
                </c:pt>
                <c:pt idx="4">
                  <c:v>50.4</c:v>
                </c:pt>
                <c:pt idx="5">
                  <c:v>42.4</c:v>
                </c:pt>
                <c:pt idx="6">
                  <c:v>30</c:v>
                </c:pt>
                <c:pt idx="7">
                  <c:v>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67-4C37-A175-8462D144F7D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Validointi!$J$61:$Q$61</c:f>
              <c:numCache>
                <c:formatCode>0.0</c:formatCode>
                <c:ptCount val="8"/>
                <c:pt idx="0">
                  <c:v>61.728976867659455</c:v>
                </c:pt>
                <c:pt idx="1">
                  <c:v>60.728976867659455</c:v>
                </c:pt>
                <c:pt idx="2">
                  <c:v>59.728976867659455</c:v>
                </c:pt>
                <c:pt idx="3">
                  <c:v>60.728976867659455</c:v>
                </c:pt>
                <c:pt idx="4">
                  <c:v>49.728976867659455</c:v>
                </c:pt>
                <c:pt idx="5">
                  <c:v>40.728976867659455</c:v>
                </c:pt>
                <c:pt idx="6">
                  <c:v>28.728976867659455</c:v>
                </c:pt>
                <c:pt idx="7">
                  <c:v>20.728976867659455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67-4C37-A175-8462D144F7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Jäte 6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Validointi!$J$66:$Q$66</c:f>
              <c:numCache>
                <c:formatCode>General</c:formatCode>
                <c:ptCount val="8"/>
                <c:pt idx="0">
                  <c:v>67.599999999999994</c:v>
                </c:pt>
                <c:pt idx="1">
                  <c:v>67</c:v>
                </c:pt>
                <c:pt idx="2">
                  <c:v>67.400000000000006</c:v>
                </c:pt>
                <c:pt idx="3">
                  <c:v>64.2</c:v>
                </c:pt>
                <c:pt idx="4">
                  <c:v>58.1</c:v>
                </c:pt>
                <c:pt idx="5">
                  <c:v>56.2</c:v>
                </c:pt>
                <c:pt idx="6">
                  <c:v>50.3</c:v>
                </c:pt>
                <c:pt idx="7">
                  <c:v>37.200000000000003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35-417B-92DC-F1992D816FBB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Validointi!$J$67:$Q$67</c:f>
              <c:numCache>
                <c:formatCode>0.0</c:formatCode>
                <c:ptCount val="8"/>
                <c:pt idx="0">
                  <c:v>66.181987850777261</c:v>
                </c:pt>
                <c:pt idx="1">
                  <c:v>66.181987850777261</c:v>
                </c:pt>
                <c:pt idx="2">
                  <c:v>68.181987850777261</c:v>
                </c:pt>
                <c:pt idx="3">
                  <c:v>62.181987850777261</c:v>
                </c:pt>
                <c:pt idx="4">
                  <c:v>56.181987850777261</c:v>
                </c:pt>
                <c:pt idx="5">
                  <c:v>54.181987850777261</c:v>
                </c:pt>
                <c:pt idx="6">
                  <c:v>48.181987850777261</c:v>
                </c:pt>
                <c:pt idx="7">
                  <c:v>35.181987850777261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35-417B-92DC-F1992D816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Ulko 8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Validointi!$J$72:$Q$72</c:f>
              <c:numCache>
                <c:formatCode>General</c:formatCode>
                <c:ptCount val="8"/>
                <c:pt idx="0">
                  <c:v>66.900000000000006</c:v>
                </c:pt>
                <c:pt idx="1">
                  <c:v>66.7</c:v>
                </c:pt>
                <c:pt idx="2">
                  <c:v>61.8</c:v>
                </c:pt>
                <c:pt idx="3">
                  <c:v>61.7</c:v>
                </c:pt>
                <c:pt idx="4">
                  <c:v>52.6</c:v>
                </c:pt>
                <c:pt idx="5">
                  <c:v>49.8</c:v>
                </c:pt>
                <c:pt idx="6">
                  <c:v>38.700000000000003</c:v>
                </c:pt>
                <c:pt idx="7">
                  <c:v>29.4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00-433C-85E8-DEA05397FB9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Validointi!$J$73:$Q$73</c:f>
              <c:numCache>
                <c:formatCode>0.0</c:formatCode>
                <c:ptCount val="8"/>
                <c:pt idx="0">
                  <c:v>66.829103954641766</c:v>
                </c:pt>
                <c:pt idx="1">
                  <c:v>66.829103954641766</c:v>
                </c:pt>
                <c:pt idx="2">
                  <c:v>62.829103954641766</c:v>
                </c:pt>
                <c:pt idx="3">
                  <c:v>61.829103954641766</c:v>
                </c:pt>
                <c:pt idx="4">
                  <c:v>53.829103954641766</c:v>
                </c:pt>
                <c:pt idx="5">
                  <c:v>50.829103954641766</c:v>
                </c:pt>
                <c:pt idx="6">
                  <c:v>40.829103954641766</c:v>
                </c:pt>
                <c:pt idx="7">
                  <c:v>30.829103954641766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00-433C-85E8-DEA05397F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Vaipan läpi 10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Validointi!$J$81:$Q$81</c:f>
              <c:numCache>
                <c:formatCode>General</c:formatCode>
                <c:ptCount val="8"/>
                <c:pt idx="0">
                  <c:v>52.8</c:v>
                </c:pt>
                <c:pt idx="1">
                  <c:v>51.6</c:v>
                </c:pt>
                <c:pt idx="2">
                  <c:v>50.8</c:v>
                </c:pt>
                <c:pt idx="3">
                  <c:v>54.6</c:v>
                </c:pt>
                <c:pt idx="4">
                  <c:v>48.9</c:v>
                </c:pt>
                <c:pt idx="5">
                  <c:v>37.799999999999997</c:v>
                </c:pt>
                <c:pt idx="6">
                  <c:v>34</c:v>
                </c:pt>
                <c:pt idx="7">
                  <c:v>33.1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97-44AF-9DFC-1231EF120442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Validointi!$J$82:$Q$82</c:f>
              <c:numCache>
                <c:formatCode>0.0</c:formatCode>
                <c:ptCount val="8"/>
                <c:pt idx="0">
                  <c:v>52</c:v>
                </c:pt>
                <c:pt idx="1">
                  <c:v>51</c:v>
                </c:pt>
                <c:pt idx="2">
                  <c:v>50</c:v>
                </c:pt>
                <c:pt idx="3">
                  <c:v>55</c:v>
                </c:pt>
                <c:pt idx="4">
                  <c:v>47</c:v>
                </c:pt>
                <c:pt idx="5">
                  <c:v>36</c:v>
                </c:pt>
                <c:pt idx="6">
                  <c:v>32</c:v>
                </c:pt>
                <c:pt idx="7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97-44AF-9DFC-1231EF1204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i-FI"/>
              <a:t>Vaipan läpi 4 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Validointi!$J$105:$Q$105</c:f>
              <c:numCache>
                <c:formatCode>General</c:formatCode>
                <c:ptCount val="8"/>
                <c:pt idx="0">
                  <c:v>46.4</c:v>
                </c:pt>
                <c:pt idx="1">
                  <c:v>39.6</c:v>
                </c:pt>
                <c:pt idx="2">
                  <c:v>40.9</c:v>
                </c:pt>
                <c:pt idx="3">
                  <c:v>36.700000000000003</c:v>
                </c:pt>
                <c:pt idx="4">
                  <c:v>31.3</c:v>
                </c:pt>
                <c:pt idx="5">
                  <c:v>20.8</c:v>
                </c:pt>
                <c:pt idx="6">
                  <c:v>9.9</c:v>
                </c:pt>
                <c:pt idx="7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65-454D-A672-B6F38D7C8BF8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Validointi!$J$106:$Q$106</c:f>
              <c:numCache>
                <c:formatCode>0.0</c:formatCode>
                <c:ptCount val="8"/>
                <c:pt idx="0">
                  <c:v>47</c:v>
                </c:pt>
                <c:pt idx="1">
                  <c:v>41</c:v>
                </c:pt>
                <c:pt idx="2">
                  <c:v>42</c:v>
                </c:pt>
                <c:pt idx="3">
                  <c:v>37</c:v>
                </c:pt>
                <c:pt idx="4">
                  <c:v>32</c:v>
                </c:pt>
                <c:pt idx="5">
                  <c:v>22</c:v>
                </c:pt>
                <c:pt idx="6">
                  <c:v>11</c:v>
                </c:pt>
                <c:pt idx="7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65-454D-A672-B6F38D7C8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1796799"/>
        <c:axId val="1186635023"/>
      </c:lineChart>
      <c:catAx>
        <c:axId val="145179679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186635023"/>
        <c:crosses val="autoZero"/>
        <c:auto val="1"/>
        <c:lblAlgn val="ctr"/>
        <c:lblOffset val="100"/>
        <c:noMultiLvlLbl val="0"/>
      </c:catAx>
      <c:valAx>
        <c:axId val="118663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1451796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i-F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3" dropStyle="combo" dx="22" fmlaLink="'SEC laskenta'!$P$43" fmlaRange="'SEC laskenta'!$P$44:$P$46" noThreeD="1" sel="2" val="0"/>
</file>

<file path=xl/ctrlProps/ctrlProp2.xml><?xml version="1.0" encoding="utf-8"?>
<formControlPr xmlns="http://schemas.microsoft.com/office/spreadsheetml/2009/9/main" objectType="Drop" dropLines="2" dropStyle="combo" dx="22" fmlaLink="'SEC laskenta'!$P$23" fmlaRange="'SEC laskenta'!$P$24:$P$25" noThreeD="1" sel="1" val="0"/>
</file>

<file path=xl/ctrlProps/ctrlProp3.xml><?xml version="1.0" encoding="utf-8"?>
<formControlPr xmlns="http://schemas.microsoft.com/office/spreadsheetml/2009/9/main" objectType="Drop" dropLines="4" dropStyle="combo" dx="22" fmlaLink="'SEC laskenta'!$P$28" fmlaRange="'SEC laskenta'!$P$29:$P$32" noThreeD="1" sel="4" val="0"/>
</file>

<file path=xl/ctrlProps/ctrlProp4.xml><?xml version="1.0" encoding="utf-8"?>
<formControlPr xmlns="http://schemas.microsoft.com/office/spreadsheetml/2009/9/main" objectType="Drop" dropLines="4" dropStyle="combo" dx="22" fmlaLink="'SEC laskenta'!$P$35" fmlaRange="'SEC laskenta'!$P$36:$P$39" noThreeD="1" sel="4" val="0"/>
</file>

<file path=xl/ctrlProps/ctrlProp5.xml><?xml version="1.0" encoding="utf-8"?>
<formControlPr xmlns="http://schemas.microsoft.com/office/spreadsheetml/2009/9/main" objectType="Drop" dropLines="4" dropStyle="combo" dx="22" fmlaLink="'LTO HS-laskenta'!$C$13" fmlaRange="'LTO HS-laskenta'!$B$29:$B$32" sel="1" val="0"/>
</file>

<file path=xl/ctrlProps/ctrlProp6.xml><?xml version="1.0" encoding="utf-8"?>
<formControlPr xmlns="http://schemas.microsoft.com/office/spreadsheetml/2009/9/main" objectType="Drop" dropLines="3" dropStyle="combo" dx="22" fmlaLink="$P$43" fmlaRange="$P$44:$P$46" noThreeD="1" sel="2" val="0"/>
</file>

<file path=xl/ctrlProps/ctrlProp7.xml><?xml version="1.0" encoding="utf-8"?>
<formControlPr xmlns="http://schemas.microsoft.com/office/spreadsheetml/2009/9/main" objectType="Drop" dropLines="2" dropStyle="combo" dx="22" fmlaLink="$P$23" fmlaRange="$P$24:$P$25" noThreeD="1" sel="1" val="0"/>
</file>

<file path=xl/ctrlProps/ctrlProp8.xml><?xml version="1.0" encoding="utf-8"?>
<formControlPr xmlns="http://schemas.microsoft.com/office/spreadsheetml/2009/9/main" objectType="Drop" dropLines="4" dropStyle="combo" dx="22" fmlaLink="$P$28" fmlaRange="$P$29:$P$32" noThreeD="1" sel="4" val="0"/>
</file>

<file path=xl/ctrlProps/ctrlProp9.xml><?xml version="1.0" encoding="utf-8"?>
<formControlPr xmlns="http://schemas.microsoft.com/office/spreadsheetml/2009/9/main" objectType="Drop" dropLines="4" dropStyle="combo" dx="22" fmlaLink="$P$35" fmlaRange="$P$36:$P$39" noThreeD="1" sel="4" val="0"/>
</file>

<file path=xl/ctrlProps/ctrlProp10.xml><?xml version="1.0" encoding="utf-8"?>
<formControlPr xmlns="http://schemas.microsoft.com/office/spreadsheetml/2009/9/main" objectType="Drop" dropLines="4" dropStyle="combo" dx="22" fmlaLink="$C$13" fmlaRange="$B$29:$B$32" sel="1" val="0"/>
</file>

<file path=xl/ctrlProps/ctrlProp11.xml><?xml version="1.0" encoding="utf-8"?>
<formControlPr xmlns="http://schemas.microsoft.com/office/spreadsheetml/2009/9/main" objectType="Drop" dropLines="2" dropStyle="combo" dx="22" fmlaLink="$C$14" fmlaRange="$B$34:$B$35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1.png"/><Relationship Id="rId1" Type="http://schemas.openxmlformats.org/officeDocument/2006/relationships/chart" Target="../charts/chart7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1.png"/><Relationship Id="rId1" Type="http://schemas.openxmlformats.org/officeDocument/2006/relationships/chart" Target="../charts/chart12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5" Type="http://schemas.openxmlformats.org/officeDocument/2006/relationships/chart" Target="../charts/chart27.xml"/><Relationship Id="rId4" Type="http://schemas.openxmlformats.org/officeDocument/2006/relationships/chart" Target="../charts/chart26.xml"/><Relationship Id="rId9" Type="http://schemas.openxmlformats.org/officeDocument/2006/relationships/chart" Target="../charts/chart3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390525</xdr:colOff>
          <xdr:row>5</xdr:row>
          <xdr:rowOff>19050</xdr:rowOff>
        </xdr:from>
        <xdr:to>
          <xdr:col>26</xdr:col>
          <xdr:colOff>523875</xdr:colOff>
          <xdr:row>5</xdr:row>
          <xdr:rowOff>200025</xdr:rowOff>
        </xdr:to>
        <xdr:sp macro="" textlink="">
          <xdr:nvSpPr>
            <xdr:cNvPr id="7169" name="Drop Down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381000</xdr:colOff>
          <xdr:row>2</xdr:row>
          <xdr:rowOff>9525</xdr:rowOff>
        </xdr:from>
        <xdr:to>
          <xdr:col>26</xdr:col>
          <xdr:colOff>523875</xdr:colOff>
          <xdr:row>2</xdr:row>
          <xdr:rowOff>171450</xdr:rowOff>
        </xdr:to>
        <xdr:sp macro="" textlink="">
          <xdr:nvSpPr>
            <xdr:cNvPr id="7170" name="Drop Down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390525</xdr:colOff>
          <xdr:row>3</xdr:row>
          <xdr:rowOff>28575</xdr:rowOff>
        </xdr:from>
        <xdr:to>
          <xdr:col>26</xdr:col>
          <xdr:colOff>514350</xdr:colOff>
          <xdr:row>3</xdr:row>
          <xdr:rowOff>200025</xdr:rowOff>
        </xdr:to>
        <xdr:sp macro="" textlink="">
          <xdr:nvSpPr>
            <xdr:cNvPr id="7171" name="Drop Dow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390525</xdr:colOff>
          <xdr:row>4</xdr:row>
          <xdr:rowOff>19050</xdr:rowOff>
        </xdr:from>
        <xdr:to>
          <xdr:col>26</xdr:col>
          <xdr:colOff>514350</xdr:colOff>
          <xdr:row>4</xdr:row>
          <xdr:rowOff>190500</xdr:rowOff>
        </xdr:to>
        <xdr:sp macro="" textlink="">
          <xdr:nvSpPr>
            <xdr:cNvPr id="7172" name="Drop Dow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66</xdr:row>
          <xdr:rowOff>19050</xdr:rowOff>
        </xdr:from>
        <xdr:to>
          <xdr:col>11</xdr:col>
          <xdr:colOff>609600</xdr:colOff>
          <xdr:row>66</xdr:row>
          <xdr:rowOff>190500</xdr:rowOff>
        </xdr:to>
        <xdr:sp macro="" textlink="">
          <xdr:nvSpPr>
            <xdr:cNvPr id="7174" name="Avatt. luetteloruutu 1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0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52387</xdr:colOff>
      <xdr:row>3</xdr:row>
      <xdr:rowOff>33336</xdr:rowOff>
    </xdr:from>
    <xdr:to>
      <xdr:col>13</xdr:col>
      <xdr:colOff>238125</xdr:colOff>
      <xdr:row>32</xdr:row>
      <xdr:rowOff>28574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5</xdr:row>
      <xdr:rowOff>100853</xdr:rowOff>
    </xdr:from>
    <xdr:to>
      <xdr:col>12</xdr:col>
      <xdr:colOff>560294</xdr:colOff>
      <xdr:row>7</xdr:row>
      <xdr:rowOff>112059</xdr:rowOff>
    </xdr:to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72275" y="1129553"/>
          <a:ext cx="1179419" cy="4493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1"/>
          <a:r>
            <a:rPr lang="fi-FI" sz="1000">
              <a:latin typeface="Century Gothic" panose="020B0502020202020204" pitchFamily="34" charset="0"/>
            </a:rPr>
            <a:t>TULO</a:t>
          </a:r>
        </a:p>
        <a:p>
          <a:pPr lvl="1"/>
          <a:r>
            <a:rPr lang="fi-FI" sz="1000">
              <a:latin typeface="Century Gothic" panose="020B0502020202020204" pitchFamily="34" charset="0"/>
            </a:rPr>
            <a:t>POISTO</a:t>
          </a:r>
        </a:p>
      </xdr:txBody>
    </xdr:sp>
    <xdr:clientData/>
  </xdr:twoCellAnchor>
  <xdr:twoCellAnchor>
    <xdr:from>
      <xdr:col>11</xdr:col>
      <xdr:colOff>155762</xdr:colOff>
      <xdr:row>6</xdr:row>
      <xdr:rowOff>1681</xdr:rowOff>
    </xdr:from>
    <xdr:to>
      <xdr:col>11</xdr:col>
      <xdr:colOff>417980</xdr:colOff>
      <xdr:row>6</xdr:row>
      <xdr:rowOff>1681</xdr:rowOff>
    </xdr:to>
    <xdr:cxnSp macro="">
      <xdr:nvCxnSpPr>
        <xdr:cNvPr id="5" name="Suora yhdysviiv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6918512" y="1249456"/>
          <a:ext cx="262218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151278</xdr:colOff>
      <xdr:row>6</xdr:row>
      <xdr:rowOff>163606</xdr:rowOff>
    </xdr:from>
    <xdr:to>
      <xdr:col>11</xdr:col>
      <xdr:colOff>413496</xdr:colOff>
      <xdr:row>6</xdr:row>
      <xdr:rowOff>163606</xdr:rowOff>
    </xdr:to>
    <xdr:cxnSp macro="">
      <xdr:nvCxnSpPr>
        <xdr:cNvPr id="6" name="Suora yhdysviiva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6914028" y="1411381"/>
          <a:ext cx="262218" cy="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32976</xdr:colOff>
      <xdr:row>0</xdr:row>
      <xdr:rowOff>92336</xdr:rowOff>
    </xdr:from>
    <xdr:to>
      <xdr:col>27</xdr:col>
      <xdr:colOff>565895</xdr:colOff>
      <xdr:row>40</xdr:row>
      <xdr:rowOff>64033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30481</xdr:colOff>
      <xdr:row>40</xdr:row>
      <xdr:rowOff>30480</xdr:rowOff>
    </xdr:from>
    <xdr:to>
      <xdr:col>9</xdr:col>
      <xdr:colOff>404340</xdr:colOff>
      <xdr:row>41</xdr:row>
      <xdr:rowOff>146611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07281" y="6269355"/>
          <a:ext cx="938075" cy="3124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17</xdr:col>
      <xdr:colOff>205739</xdr:colOff>
      <xdr:row>43</xdr:row>
      <xdr:rowOff>121920</xdr:rowOff>
    </xdr:from>
    <xdr:to>
      <xdr:col>27</xdr:col>
      <xdr:colOff>533399</xdr:colOff>
      <xdr:row>73</xdr:row>
      <xdr:rowOff>10885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192677</xdr:colOff>
      <xdr:row>85</xdr:row>
      <xdr:rowOff>19595</xdr:rowOff>
    </xdr:from>
    <xdr:to>
      <xdr:col>27</xdr:col>
      <xdr:colOff>533400</xdr:colOff>
      <xdr:row>105</xdr:row>
      <xdr:rowOff>166552</xdr:rowOff>
    </xdr:to>
    <xdr:graphicFrame macro="">
      <xdr:nvGraphicFramePr>
        <xdr:cNvPr id="6" name="Kaavi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239486</xdr:colOff>
      <xdr:row>107</xdr:row>
      <xdr:rowOff>89262</xdr:rowOff>
    </xdr:from>
    <xdr:to>
      <xdr:col>27</xdr:col>
      <xdr:colOff>512718</xdr:colOff>
      <xdr:row>128</xdr:row>
      <xdr:rowOff>119742</xdr:rowOff>
    </xdr:to>
    <xdr:graphicFrame macro="">
      <xdr:nvGraphicFramePr>
        <xdr:cNvPr id="7" name="Kaavi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147919</xdr:colOff>
      <xdr:row>86</xdr:row>
      <xdr:rowOff>107576</xdr:rowOff>
    </xdr:from>
    <xdr:to>
      <xdr:col>6</xdr:col>
      <xdr:colOff>394449</xdr:colOff>
      <xdr:row>101</xdr:row>
      <xdr:rowOff>143435</xdr:rowOff>
    </xdr:to>
    <xdr:graphicFrame macro="">
      <xdr:nvGraphicFramePr>
        <xdr:cNvPr id="9" name="Kaavio 8">
          <a:extLst>
            <a:ext uri="{FF2B5EF4-FFF2-40B4-BE49-F238E27FC236}">
              <a16:creationId xmlns:a16="http://schemas.microsoft.com/office/drawing/2014/main" id="{0578AD5B-7200-6E41-7511-3726D71E54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21771</xdr:colOff>
      <xdr:row>0</xdr:row>
      <xdr:rowOff>137160</xdr:rowOff>
    </xdr:from>
    <xdr:to>
      <xdr:col>27</xdr:col>
      <xdr:colOff>554690</xdr:colOff>
      <xdr:row>40</xdr:row>
      <xdr:rowOff>108857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9E6E6453-88D6-4210-9B72-8EC70A952F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30481</xdr:colOff>
      <xdr:row>40</xdr:row>
      <xdr:rowOff>30480</xdr:rowOff>
    </xdr:from>
    <xdr:to>
      <xdr:col>9</xdr:col>
      <xdr:colOff>404340</xdr:colOff>
      <xdr:row>42</xdr:row>
      <xdr:rowOff>561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E1D928A0-6B81-441B-8E5D-EAB97F066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29201" y="5867400"/>
          <a:ext cx="945359" cy="29774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17</xdr:col>
      <xdr:colOff>205739</xdr:colOff>
      <xdr:row>43</xdr:row>
      <xdr:rowOff>121920</xdr:rowOff>
    </xdr:from>
    <xdr:to>
      <xdr:col>27</xdr:col>
      <xdr:colOff>533399</xdr:colOff>
      <xdr:row>73</xdr:row>
      <xdr:rowOff>10885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4A7DC471-4276-4250-BF86-1ABB32EC60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192677</xdr:colOff>
      <xdr:row>85</xdr:row>
      <xdr:rowOff>19595</xdr:rowOff>
    </xdr:from>
    <xdr:to>
      <xdr:col>27</xdr:col>
      <xdr:colOff>533400</xdr:colOff>
      <xdr:row>105</xdr:row>
      <xdr:rowOff>166552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B3B856B3-45AA-46E9-B6BC-7232E4192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239486</xdr:colOff>
      <xdr:row>107</xdr:row>
      <xdr:rowOff>89262</xdr:rowOff>
    </xdr:from>
    <xdr:to>
      <xdr:col>27</xdr:col>
      <xdr:colOff>512718</xdr:colOff>
      <xdr:row>129</xdr:row>
      <xdr:rowOff>119742</xdr:rowOff>
    </xdr:to>
    <xdr:graphicFrame macro="">
      <xdr:nvGraphicFramePr>
        <xdr:cNvPr id="6" name="Kaavio 5">
          <a:extLst>
            <a:ext uri="{FF2B5EF4-FFF2-40B4-BE49-F238E27FC236}">
              <a16:creationId xmlns:a16="http://schemas.microsoft.com/office/drawing/2014/main" id="{5AD3F705-B755-4883-8947-4266653DB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97268</xdr:colOff>
      <xdr:row>86</xdr:row>
      <xdr:rowOff>124161</xdr:rowOff>
    </xdr:from>
    <xdr:to>
      <xdr:col>6</xdr:col>
      <xdr:colOff>341109</xdr:colOff>
      <xdr:row>101</xdr:row>
      <xdr:rowOff>160020</xdr:rowOff>
    </xdr:to>
    <xdr:graphicFrame macro="">
      <xdr:nvGraphicFramePr>
        <xdr:cNvPr id="7" name="Kaavio 6">
          <a:extLst>
            <a:ext uri="{FF2B5EF4-FFF2-40B4-BE49-F238E27FC236}">
              <a16:creationId xmlns:a16="http://schemas.microsoft.com/office/drawing/2014/main" id="{B726D955-BEE0-49CF-AFE8-3024475B5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167640</xdr:colOff>
      <xdr:row>3</xdr:row>
      <xdr:rowOff>60960</xdr:rowOff>
    </xdr:from>
    <xdr:to>
      <xdr:col>23</xdr:col>
      <xdr:colOff>563880</xdr:colOff>
      <xdr:row>33</xdr:row>
      <xdr:rowOff>167640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30481</xdr:colOff>
      <xdr:row>33</xdr:row>
      <xdr:rowOff>30480</xdr:rowOff>
    </xdr:from>
    <xdr:to>
      <xdr:col>9</xdr:col>
      <xdr:colOff>520881</xdr:colOff>
      <xdr:row>34</xdr:row>
      <xdr:rowOff>152400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07281" y="6040755"/>
          <a:ext cx="938075" cy="3124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17</xdr:col>
      <xdr:colOff>205740</xdr:colOff>
      <xdr:row>37</xdr:row>
      <xdr:rowOff>121920</xdr:rowOff>
    </xdr:from>
    <xdr:to>
      <xdr:col>24</xdr:col>
      <xdr:colOff>403860</xdr:colOff>
      <xdr:row>53</xdr:row>
      <xdr:rowOff>129540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487680</xdr:colOff>
      <xdr:row>84</xdr:row>
      <xdr:rowOff>34290</xdr:rowOff>
    </xdr:from>
    <xdr:to>
      <xdr:col>22</xdr:col>
      <xdr:colOff>533400</xdr:colOff>
      <xdr:row>104</xdr:row>
      <xdr:rowOff>161925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470535</xdr:colOff>
      <xdr:row>107</xdr:row>
      <xdr:rowOff>5715</xdr:rowOff>
    </xdr:from>
    <xdr:to>
      <xdr:col>23</xdr:col>
      <xdr:colOff>59055</xdr:colOff>
      <xdr:row>122</xdr:row>
      <xdr:rowOff>102870</xdr:rowOff>
    </xdr:to>
    <xdr:graphicFrame macro="">
      <xdr:nvGraphicFramePr>
        <xdr:cNvPr id="6" name="Kaavi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313764</xdr:colOff>
      <xdr:row>4</xdr:row>
      <xdr:rowOff>22411</xdr:rowOff>
    </xdr:from>
    <xdr:to>
      <xdr:col>27</xdr:col>
      <xdr:colOff>44824</xdr:colOff>
      <xdr:row>23</xdr:row>
      <xdr:rowOff>0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313764</xdr:colOff>
      <xdr:row>28</xdr:row>
      <xdr:rowOff>22411</xdr:rowOff>
    </xdr:from>
    <xdr:to>
      <xdr:col>27</xdr:col>
      <xdr:colOff>44824</xdr:colOff>
      <xdr:row>47</xdr:row>
      <xdr:rowOff>0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313764</xdr:colOff>
      <xdr:row>52</xdr:row>
      <xdr:rowOff>22411</xdr:rowOff>
    </xdr:from>
    <xdr:to>
      <xdr:col>27</xdr:col>
      <xdr:colOff>44824</xdr:colOff>
      <xdr:row>71</xdr:row>
      <xdr:rowOff>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313764</xdr:colOff>
      <xdr:row>76</xdr:row>
      <xdr:rowOff>22411</xdr:rowOff>
    </xdr:from>
    <xdr:to>
      <xdr:col>27</xdr:col>
      <xdr:colOff>44824</xdr:colOff>
      <xdr:row>95</xdr:row>
      <xdr:rowOff>0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370114</xdr:colOff>
      <xdr:row>100</xdr:row>
      <xdr:rowOff>22411</xdr:rowOff>
    </xdr:from>
    <xdr:to>
      <xdr:col>27</xdr:col>
      <xdr:colOff>44824</xdr:colOff>
      <xdr:row>119</xdr:row>
      <xdr:rowOff>0</xdr:rowOff>
    </xdr:to>
    <xdr:graphicFrame macro="">
      <xdr:nvGraphicFramePr>
        <xdr:cNvPr id="9" name="Kaavi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124</xdr:row>
      <xdr:rowOff>0</xdr:rowOff>
    </xdr:from>
    <xdr:to>
      <xdr:col>18</xdr:col>
      <xdr:colOff>100013</xdr:colOff>
      <xdr:row>154</xdr:row>
      <xdr:rowOff>71438</xdr:rowOff>
    </xdr:to>
    <xdr:graphicFrame macro="">
      <xdr:nvGraphicFramePr>
        <xdr:cNvPr id="7" name="Kaavio 6">
          <a:extLst>
            <a:ext uri="{FF2B5EF4-FFF2-40B4-BE49-F238E27FC236}">
              <a16:creationId xmlns:a16="http://schemas.microsoft.com/office/drawing/2014/main" id="{CFEA816E-B2CE-4C54-ADB0-1DF6107F6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28575</xdr:rowOff>
        </xdr:from>
        <xdr:to>
          <xdr:col>12</xdr:col>
          <xdr:colOff>0</xdr:colOff>
          <xdr:row>12</xdr:row>
          <xdr:rowOff>209550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9</xdr:row>
          <xdr:rowOff>0</xdr:rowOff>
        </xdr:from>
        <xdr:to>
          <xdr:col>12</xdr:col>
          <xdr:colOff>0</xdr:colOff>
          <xdr:row>9</xdr:row>
          <xdr:rowOff>209550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10</xdr:row>
          <xdr:rowOff>28575</xdr:rowOff>
        </xdr:from>
        <xdr:to>
          <xdr:col>12</xdr:col>
          <xdr:colOff>0</xdr:colOff>
          <xdr:row>11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6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19050</xdr:rowOff>
        </xdr:from>
        <xdr:to>
          <xdr:col>12</xdr:col>
          <xdr:colOff>0</xdr:colOff>
          <xdr:row>11</xdr:row>
          <xdr:rowOff>209550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6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161925</xdr:rowOff>
        </xdr:from>
        <xdr:to>
          <xdr:col>4</xdr:col>
          <xdr:colOff>28575</xdr:colOff>
          <xdr:row>12</xdr:row>
          <xdr:rowOff>152400</xdr:rowOff>
        </xdr:to>
        <xdr:sp macro="" textlink="">
          <xdr:nvSpPr>
            <xdr:cNvPr id="11265" name="Avatt. luetteloruutu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7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12</xdr:row>
          <xdr:rowOff>161925</xdr:rowOff>
        </xdr:from>
        <xdr:to>
          <xdr:col>3</xdr:col>
          <xdr:colOff>561975</xdr:colOff>
          <xdr:row>13</xdr:row>
          <xdr:rowOff>152400</xdr:rowOff>
        </xdr:to>
        <xdr:sp macro="" textlink="">
          <xdr:nvSpPr>
            <xdr:cNvPr id="11266" name="Avatt. luetteloruutu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7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</xdr:colOff>
      <xdr:row>29</xdr:row>
      <xdr:rowOff>61911</xdr:rowOff>
    </xdr:from>
    <xdr:to>
      <xdr:col>13</xdr:col>
      <xdr:colOff>428625</xdr:colOff>
      <xdr:row>59</xdr:row>
      <xdr:rowOff>38100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523875</xdr:colOff>
      <xdr:row>32</xdr:row>
      <xdr:rowOff>104775</xdr:rowOff>
    </xdr:from>
    <xdr:to>
      <xdr:col>26</xdr:col>
      <xdr:colOff>219075</xdr:colOff>
      <xdr:row>48</xdr:row>
      <xdr:rowOff>104775</xdr:rowOff>
    </xdr:to>
    <xdr:graphicFrame macro="">
      <xdr:nvGraphicFramePr>
        <xdr:cNvPr id="2" name="Kaavio 1">
          <a:extLst>
            <a:ext uri="{FF2B5EF4-FFF2-40B4-BE49-F238E27FC236}">
              <a16:creationId xmlns:a16="http://schemas.microsoft.com/office/drawing/2014/main" id="{C993941D-E27F-E0AA-2235-9DB2B07B87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542925</xdr:colOff>
      <xdr:row>48</xdr:row>
      <xdr:rowOff>161925</xdr:rowOff>
    </xdr:from>
    <xdr:to>
      <xdr:col>26</xdr:col>
      <xdr:colOff>238125</xdr:colOff>
      <xdr:row>64</xdr:row>
      <xdr:rowOff>161925</xdr:rowOff>
    </xdr:to>
    <xdr:graphicFrame macro="">
      <xdr:nvGraphicFramePr>
        <xdr:cNvPr id="3" name="Kaavio 2">
          <a:extLst>
            <a:ext uri="{FF2B5EF4-FFF2-40B4-BE49-F238E27FC236}">
              <a16:creationId xmlns:a16="http://schemas.microsoft.com/office/drawing/2014/main" id="{5A959B8B-FE62-4E70-9F77-140D476E8E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581025</xdr:colOff>
      <xdr:row>65</xdr:row>
      <xdr:rowOff>57150</xdr:rowOff>
    </xdr:from>
    <xdr:to>
      <xdr:col>26</xdr:col>
      <xdr:colOff>276225</xdr:colOff>
      <xdr:row>81</xdr:row>
      <xdr:rowOff>57150</xdr:rowOff>
    </xdr:to>
    <xdr:graphicFrame macro="">
      <xdr:nvGraphicFramePr>
        <xdr:cNvPr id="4" name="Kaavio 3">
          <a:extLst>
            <a:ext uri="{FF2B5EF4-FFF2-40B4-BE49-F238E27FC236}">
              <a16:creationId xmlns:a16="http://schemas.microsoft.com/office/drawing/2014/main" id="{D98AC116-9D5D-435B-8913-488AA8FE3A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438150</xdr:colOff>
      <xdr:row>32</xdr:row>
      <xdr:rowOff>123825</xdr:rowOff>
    </xdr:from>
    <xdr:to>
      <xdr:col>34</xdr:col>
      <xdr:colOff>133350</xdr:colOff>
      <xdr:row>48</xdr:row>
      <xdr:rowOff>123825</xdr:rowOff>
    </xdr:to>
    <xdr:graphicFrame macro="">
      <xdr:nvGraphicFramePr>
        <xdr:cNvPr id="5" name="Kaavio 4">
          <a:extLst>
            <a:ext uri="{FF2B5EF4-FFF2-40B4-BE49-F238E27FC236}">
              <a16:creationId xmlns:a16="http://schemas.microsoft.com/office/drawing/2014/main" id="{281CADFB-92DA-4D1D-9D9E-4C992B4C0B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485775</xdr:colOff>
      <xdr:row>49</xdr:row>
      <xdr:rowOff>47625</xdr:rowOff>
    </xdr:from>
    <xdr:to>
      <xdr:col>34</xdr:col>
      <xdr:colOff>180975</xdr:colOff>
      <xdr:row>65</xdr:row>
      <xdr:rowOff>47625</xdr:rowOff>
    </xdr:to>
    <xdr:graphicFrame macro="">
      <xdr:nvGraphicFramePr>
        <xdr:cNvPr id="6" name="Kaavio 5">
          <a:extLst>
            <a:ext uri="{FF2B5EF4-FFF2-40B4-BE49-F238E27FC236}">
              <a16:creationId xmlns:a16="http://schemas.microsoft.com/office/drawing/2014/main" id="{85F1F0E5-18D6-4488-B1B5-68946C2BC0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600075</xdr:colOff>
      <xdr:row>81</xdr:row>
      <xdr:rowOff>0</xdr:rowOff>
    </xdr:from>
    <xdr:to>
      <xdr:col>34</xdr:col>
      <xdr:colOff>295275</xdr:colOff>
      <xdr:row>97</xdr:row>
      <xdr:rowOff>0</xdr:rowOff>
    </xdr:to>
    <xdr:graphicFrame macro="">
      <xdr:nvGraphicFramePr>
        <xdr:cNvPr id="7" name="Kaavio 6">
          <a:extLst>
            <a:ext uri="{FF2B5EF4-FFF2-40B4-BE49-F238E27FC236}">
              <a16:creationId xmlns:a16="http://schemas.microsoft.com/office/drawing/2014/main" id="{B81E3161-7D5E-4AA5-99D9-4AEE6939C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66675</xdr:colOff>
      <xdr:row>82</xdr:row>
      <xdr:rowOff>19050</xdr:rowOff>
    </xdr:from>
    <xdr:to>
      <xdr:col>26</xdr:col>
      <xdr:colOff>371475</xdr:colOff>
      <xdr:row>98</xdr:row>
      <xdr:rowOff>19050</xdr:rowOff>
    </xdr:to>
    <xdr:graphicFrame macro="">
      <xdr:nvGraphicFramePr>
        <xdr:cNvPr id="8" name="Kaavio 7">
          <a:extLst>
            <a:ext uri="{FF2B5EF4-FFF2-40B4-BE49-F238E27FC236}">
              <a16:creationId xmlns:a16="http://schemas.microsoft.com/office/drawing/2014/main" id="{68D9E030-87C5-4E99-A9C1-675236D15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133350</xdr:colOff>
      <xdr:row>84</xdr:row>
      <xdr:rowOff>19050</xdr:rowOff>
    </xdr:from>
    <xdr:to>
      <xdr:col>16</xdr:col>
      <xdr:colOff>57150</xdr:colOff>
      <xdr:row>100</xdr:row>
      <xdr:rowOff>19050</xdr:rowOff>
    </xdr:to>
    <xdr:graphicFrame macro="">
      <xdr:nvGraphicFramePr>
        <xdr:cNvPr id="9" name="Kaavio 8">
          <a:extLst>
            <a:ext uri="{FF2B5EF4-FFF2-40B4-BE49-F238E27FC236}">
              <a16:creationId xmlns:a16="http://schemas.microsoft.com/office/drawing/2014/main" id="{C2F129B2-9E1D-4ECE-A16B-D9E015DDE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209550</xdr:colOff>
      <xdr:row>107</xdr:row>
      <xdr:rowOff>133350</xdr:rowOff>
    </xdr:from>
    <xdr:to>
      <xdr:col>16</xdr:col>
      <xdr:colOff>133350</xdr:colOff>
      <xdr:row>123</xdr:row>
      <xdr:rowOff>133350</xdr:rowOff>
    </xdr:to>
    <xdr:graphicFrame macro="">
      <xdr:nvGraphicFramePr>
        <xdr:cNvPr id="10" name="Kaavio 9">
          <a:extLst>
            <a:ext uri="{FF2B5EF4-FFF2-40B4-BE49-F238E27FC236}">
              <a16:creationId xmlns:a16="http://schemas.microsoft.com/office/drawing/2014/main" id="{000ACBDE-BB24-4EC7-8ADE-F36CE437F6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1.xml"/><Relationship Id="rId4" Type="http://schemas.openxmlformats.org/officeDocument/2006/relationships/ctrlProp" Target="../ctrlProps/ctrlProp10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1E1D0-5672-499D-9DF5-37BA1413EC91}">
  <sheetPr>
    <pageSetUpPr fitToPage="1"/>
  </sheetPr>
  <dimension ref="B1:AC77"/>
  <sheetViews>
    <sheetView showGridLines="0" tabSelected="1" zoomScaleNormal="100" zoomScaleSheetLayoutView="90" workbookViewId="0">
      <selection activeCell="J36" sqref="J36"/>
    </sheetView>
  </sheetViews>
  <sheetFormatPr defaultRowHeight="13.5" x14ac:dyDescent="0.25"/>
  <cols>
    <col min="1" max="1" width="6.42578125" customWidth="1"/>
    <col min="2" max="2" width="3" customWidth="1"/>
    <col min="3" max="3" width="18.85546875" customWidth="1"/>
    <col min="4" max="11" width="9.140625" customWidth="1"/>
    <col min="12" max="12" width="9.42578125" bestFit="1" customWidth="1"/>
    <col min="13" max="13" width="9.140625" customWidth="1"/>
    <col min="14" max="14" width="5.140625" customWidth="1"/>
    <col min="15" max="16" width="6.42578125" customWidth="1"/>
    <col min="17" max="17" width="4.28515625" customWidth="1"/>
    <col min="18" max="18" width="8.7109375" customWidth="1"/>
    <col min="19" max="19" width="9" customWidth="1"/>
    <col min="20" max="21" width="10.140625" customWidth="1"/>
    <col min="22" max="22" width="10.28515625" customWidth="1"/>
    <col min="23" max="23" width="9.140625" customWidth="1"/>
    <col min="24" max="25" width="8.42578125" customWidth="1"/>
    <col min="26" max="28" width="8" customWidth="1"/>
    <col min="29" max="29" width="4.85546875" customWidth="1"/>
  </cols>
  <sheetData>
    <row r="1" spans="2:29" x14ac:dyDescent="0.25">
      <c r="Q1" s="29"/>
      <c r="R1" s="168"/>
      <c r="S1" s="168"/>
      <c r="T1" s="168"/>
      <c r="U1" s="168"/>
      <c r="V1" s="168"/>
      <c r="W1" s="168"/>
      <c r="X1" s="168"/>
      <c r="Y1" s="20"/>
      <c r="Z1" s="20"/>
      <c r="AA1" s="170"/>
      <c r="AB1" s="20"/>
      <c r="AC1" s="21"/>
    </row>
    <row r="2" spans="2:29" ht="15.75" x14ac:dyDescent="0.25">
      <c r="B2" s="29"/>
      <c r="C2" s="169" t="s">
        <v>455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  <c r="Q2" s="30"/>
      <c r="R2" s="9" t="s">
        <v>212</v>
      </c>
      <c r="AA2" s="41"/>
      <c r="AC2" s="22"/>
    </row>
    <row r="3" spans="2:29" ht="17.25" customHeight="1" x14ac:dyDescent="0.25">
      <c r="B3" s="30"/>
      <c r="M3" s="129"/>
      <c r="N3" s="22"/>
      <c r="Q3" s="30"/>
      <c r="R3" s="18" t="s">
        <v>46</v>
      </c>
      <c r="S3" s="18"/>
      <c r="T3" s="18"/>
      <c r="U3" s="18"/>
      <c r="V3" s="18"/>
      <c r="W3" s="18"/>
      <c r="X3" s="18"/>
      <c r="Y3" s="17"/>
      <c r="Z3" s="18"/>
      <c r="AA3" s="18"/>
      <c r="AC3" s="22"/>
    </row>
    <row r="4" spans="2:29" ht="17.25" customHeight="1" x14ac:dyDescent="0.25">
      <c r="B4" s="30"/>
      <c r="N4" s="22"/>
      <c r="Q4" s="30"/>
      <c r="R4" s="18" t="s">
        <v>47</v>
      </c>
      <c r="S4" s="18"/>
      <c r="T4" s="18"/>
      <c r="U4" s="18"/>
      <c r="V4" s="18"/>
      <c r="W4" s="18"/>
      <c r="X4" s="18"/>
      <c r="Y4" s="18"/>
      <c r="Z4" s="18"/>
      <c r="AA4" s="18"/>
      <c r="AC4" s="22"/>
    </row>
    <row r="5" spans="2:29" ht="17.25" customHeight="1" x14ac:dyDescent="0.25">
      <c r="B5" s="30"/>
      <c r="C5" s="9"/>
      <c r="N5" s="22"/>
      <c r="Q5" s="30"/>
      <c r="R5" s="18" t="s">
        <v>48</v>
      </c>
      <c r="S5" s="18"/>
      <c r="T5" s="18"/>
      <c r="U5" s="18"/>
      <c r="V5" s="18"/>
      <c r="W5" s="18"/>
      <c r="X5" s="18"/>
      <c r="Y5" s="18"/>
      <c r="Z5" s="18"/>
      <c r="AA5" s="18"/>
      <c r="AC5" s="22"/>
    </row>
    <row r="6" spans="2:29" ht="17.25" customHeight="1" x14ac:dyDescent="0.25">
      <c r="B6" s="30"/>
      <c r="N6" s="22"/>
      <c r="Q6" s="30"/>
      <c r="R6" s="18" t="s">
        <v>49</v>
      </c>
      <c r="S6" s="18"/>
      <c r="T6" s="18"/>
      <c r="U6" s="18"/>
      <c r="V6" s="18"/>
      <c r="W6" s="18"/>
      <c r="X6" s="18"/>
      <c r="Y6" s="18"/>
      <c r="Z6" s="18"/>
      <c r="AA6" s="18"/>
      <c r="AC6" s="22"/>
    </row>
    <row r="7" spans="2:29" ht="17.25" customHeight="1" x14ac:dyDescent="0.3">
      <c r="B7" s="30"/>
      <c r="N7" s="22"/>
      <c r="Q7" s="30"/>
      <c r="R7" s="18" t="s">
        <v>50</v>
      </c>
      <c r="S7" s="18"/>
      <c r="T7" s="18"/>
      <c r="U7" s="18"/>
      <c r="V7" s="19"/>
      <c r="W7" s="18"/>
      <c r="X7" s="18"/>
      <c r="Y7" s="18"/>
      <c r="Z7" s="18"/>
      <c r="AA7" s="124">
        <f>'SEC laskenta'!Q16</f>
        <v>0.84549847097053377</v>
      </c>
      <c r="AC7" s="22"/>
    </row>
    <row r="8" spans="2:29" x14ac:dyDescent="0.25">
      <c r="B8" s="30"/>
      <c r="N8" s="22"/>
      <c r="Q8" s="30"/>
      <c r="AC8" s="22"/>
    </row>
    <row r="9" spans="2:29" x14ac:dyDescent="0.25">
      <c r="B9" s="30"/>
      <c r="N9" s="22"/>
      <c r="Q9" s="30"/>
      <c r="Y9" s="561" t="s">
        <v>43</v>
      </c>
      <c r="Z9" s="561"/>
      <c r="AA9" s="40">
        <f>'SEC laskenta'!L24</f>
        <v>-42.037854522146702</v>
      </c>
      <c r="AC9" s="22"/>
    </row>
    <row r="10" spans="2:29" x14ac:dyDescent="0.25">
      <c r="B10" s="30"/>
      <c r="N10" s="22"/>
      <c r="Q10" s="30"/>
      <c r="Y10" s="561" t="s">
        <v>44</v>
      </c>
      <c r="Z10" s="561"/>
      <c r="AA10" s="40" t="str">
        <f>'SEC laskenta'!L25</f>
        <v>A+</v>
      </c>
      <c r="AC10" s="22"/>
    </row>
    <row r="11" spans="2:29" x14ac:dyDescent="0.25">
      <c r="B11" s="30"/>
      <c r="N11" s="22"/>
      <c r="Q11" s="30"/>
      <c r="AC11" s="22"/>
    </row>
    <row r="12" spans="2:29" ht="15.75" customHeight="1" x14ac:dyDescent="0.25">
      <c r="B12" s="30"/>
      <c r="N12" s="22"/>
      <c r="Q12" s="29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1"/>
    </row>
    <row r="13" spans="2:29" ht="15.75" customHeight="1" x14ac:dyDescent="0.25">
      <c r="B13" s="30"/>
      <c r="E13">
        <v>1</v>
      </c>
      <c r="N13" s="22"/>
      <c r="Q13" s="30"/>
      <c r="R13" s="9" t="s">
        <v>141</v>
      </c>
      <c r="AC13" s="22"/>
    </row>
    <row r="14" spans="2:29" x14ac:dyDescent="0.25">
      <c r="B14" s="30"/>
      <c r="N14" s="22"/>
      <c r="Q14" s="30"/>
      <c r="AC14" s="22"/>
    </row>
    <row r="15" spans="2:29" ht="15.75" x14ac:dyDescent="0.25">
      <c r="B15" s="30"/>
      <c r="N15" s="22"/>
      <c r="Q15" s="30"/>
      <c r="R15" s="131" t="s">
        <v>152</v>
      </c>
      <c r="S15" s="131" t="s">
        <v>133</v>
      </c>
      <c r="T15" s="132" t="s">
        <v>87</v>
      </c>
      <c r="U15" s="133" t="s">
        <v>151</v>
      </c>
      <c r="V15" s="131" t="s">
        <v>88</v>
      </c>
      <c r="W15" s="134" t="s">
        <v>90</v>
      </c>
      <c r="X15" s="133" t="s">
        <v>91</v>
      </c>
      <c r="Y15" s="131" t="s">
        <v>92</v>
      </c>
      <c r="Z15" s="133" t="s">
        <v>95</v>
      </c>
      <c r="AA15" s="131" t="s">
        <v>96</v>
      </c>
      <c r="AB15" s="134" t="s">
        <v>97</v>
      </c>
      <c r="AC15" s="22"/>
    </row>
    <row r="16" spans="2:29" x14ac:dyDescent="0.25">
      <c r="B16" s="30"/>
      <c r="N16" s="22"/>
      <c r="Q16" s="30"/>
      <c r="R16" s="135">
        <f>'LTO HS-laskenta'!F6</f>
        <v>-32</v>
      </c>
      <c r="S16" s="136">
        <f>'LTO HS-laskenta'!G6</f>
        <v>0</v>
      </c>
      <c r="T16" s="137">
        <f>'LTO HS-laskenta'!M6</f>
        <v>20</v>
      </c>
      <c r="U16" s="138">
        <f>'LTO HS-laskenta'!I6</f>
        <v>-5</v>
      </c>
      <c r="V16" s="139">
        <f>'LTO HS-laskenta'!N6</f>
        <v>-7</v>
      </c>
      <c r="W16" s="140">
        <f>'LTO HS-laskenta'!P6</f>
        <v>1</v>
      </c>
      <c r="X16" s="141">
        <f>'LTO HS-laskenta'!Q6</f>
        <v>0.48076923076923078</v>
      </c>
      <c r="Y16" s="142">
        <f>'LTO HS-laskenta'!R6</f>
        <v>0.48076923076923078</v>
      </c>
      <c r="Z16" s="143">
        <f>'LTO HS-laskenta'!U6</f>
        <v>0</v>
      </c>
      <c r="AA16" s="144">
        <f>'LTO HS-laskenta'!V6</f>
        <v>0</v>
      </c>
      <c r="AB16" s="145">
        <f>'LTO HS-laskenta'!W6</f>
        <v>0</v>
      </c>
      <c r="AC16" s="22"/>
    </row>
    <row r="17" spans="2:29" x14ac:dyDescent="0.25">
      <c r="B17" s="30"/>
      <c r="N17" s="22"/>
      <c r="Q17" s="30"/>
      <c r="R17" s="135">
        <f>'LTO HS-laskenta'!F7</f>
        <v>-31</v>
      </c>
      <c r="S17" s="136">
        <f>'LTO HS-laskenta'!G7</f>
        <v>0</v>
      </c>
      <c r="T17" s="137">
        <f>'LTO HS-laskenta'!M7</f>
        <v>20</v>
      </c>
      <c r="U17" s="138">
        <f>'LTO HS-laskenta'!I7</f>
        <v>-5</v>
      </c>
      <c r="V17" s="139">
        <f>'LTO HS-laskenta'!N7</f>
        <v>-6</v>
      </c>
      <c r="W17" s="140">
        <f>'LTO HS-laskenta'!P7</f>
        <v>1</v>
      </c>
      <c r="X17" s="141">
        <f>'LTO HS-laskenta'!Q7</f>
        <v>0.49019607843137253</v>
      </c>
      <c r="Y17" s="142">
        <f>'LTO HS-laskenta'!R7</f>
        <v>0.49019607843137253</v>
      </c>
      <c r="Z17" s="143">
        <f>'LTO HS-laskenta'!U7</f>
        <v>0</v>
      </c>
      <c r="AA17" s="144">
        <f>'LTO HS-laskenta'!V7</f>
        <v>0</v>
      </c>
      <c r="AB17" s="145">
        <f>'LTO HS-laskenta'!W7</f>
        <v>0</v>
      </c>
      <c r="AC17" s="22"/>
    </row>
    <row r="18" spans="2:29" x14ac:dyDescent="0.25">
      <c r="B18" s="30"/>
      <c r="N18" s="22"/>
      <c r="Q18" s="30"/>
      <c r="R18" s="135">
        <f>'LTO HS-laskenta'!F8</f>
        <v>-30</v>
      </c>
      <c r="S18" s="136">
        <f>'LTO HS-laskenta'!G8</f>
        <v>0</v>
      </c>
      <c r="T18" s="137">
        <f>'LTO HS-laskenta'!M8</f>
        <v>20</v>
      </c>
      <c r="U18" s="138">
        <f>'LTO HS-laskenta'!I8</f>
        <v>-5</v>
      </c>
      <c r="V18" s="139">
        <f>'LTO HS-laskenta'!N8</f>
        <v>-5</v>
      </c>
      <c r="W18" s="140">
        <f>'LTO HS-laskenta'!P8</f>
        <v>1</v>
      </c>
      <c r="X18" s="141">
        <f>'LTO HS-laskenta'!Q8</f>
        <v>0.5</v>
      </c>
      <c r="Y18" s="142">
        <f>'LTO HS-laskenta'!R8</f>
        <v>0.5</v>
      </c>
      <c r="Z18" s="143">
        <f>'LTO HS-laskenta'!U8</f>
        <v>0</v>
      </c>
      <c r="AA18" s="144">
        <f>'LTO HS-laskenta'!V8</f>
        <v>0</v>
      </c>
      <c r="AB18" s="145">
        <f>'LTO HS-laskenta'!W8</f>
        <v>0</v>
      </c>
      <c r="AC18" s="22"/>
    </row>
    <row r="19" spans="2:29" x14ac:dyDescent="0.25">
      <c r="B19" s="30"/>
      <c r="N19" s="22"/>
      <c r="Q19" s="30"/>
      <c r="R19" s="135">
        <f>'LTO HS-laskenta'!F9</f>
        <v>-29</v>
      </c>
      <c r="S19" s="136">
        <f>'LTO HS-laskenta'!G9</f>
        <v>0</v>
      </c>
      <c r="T19" s="137">
        <f>'LTO HS-laskenta'!M9</f>
        <v>20</v>
      </c>
      <c r="U19" s="138">
        <f>'LTO HS-laskenta'!I9</f>
        <v>-5</v>
      </c>
      <c r="V19" s="139">
        <f>'LTO HS-laskenta'!N9</f>
        <v>-4</v>
      </c>
      <c r="W19" s="140">
        <f>'LTO HS-laskenta'!P9</f>
        <v>1</v>
      </c>
      <c r="X19" s="141">
        <f>'LTO HS-laskenta'!Q9</f>
        <v>0.51020408163265307</v>
      </c>
      <c r="Y19" s="142">
        <f>'LTO HS-laskenta'!R9</f>
        <v>0.51020408163265307</v>
      </c>
      <c r="Z19" s="143">
        <f>'LTO HS-laskenta'!U9</f>
        <v>0</v>
      </c>
      <c r="AA19" s="144">
        <f>'LTO HS-laskenta'!V9</f>
        <v>0</v>
      </c>
      <c r="AB19" s="145">
        <f>'LTO HS-laskenta'!W9</f>
        <v>0</v>
      </c>
      <c r="AC19" s="22"/>
    </row>
    <row r="20" spans="2:29" x14ac:dyDescent="0.25">
      <c r="B20" s="30"/>
      <c r="N20" s="22"/>
      <c r="Q20" s="30"/>
      <c r="R20" s="135">
        <f>'LTO HS-laskenta'!F10</f>
        <v>-28</v>
      </c>
      <c r="S20" s="136">
        <f>'LTO HS-laskenta'!G10</f>
        <v>0</v>
      </c>
      <c r="T20" s="137">
        <f>'LTO HS-laskenta'!M10</f>
        <v>20</v>
      </c>
      <c r="U20" s="138">
        <f>'LTO HS-laskenta'!I10</f>
        <v>-5</v>
      </c>
      <c r="V20" s="139">
        <f>'LTO HS-laskenta'!N10</f>
        <v>-3</v>
      </c>
      <c r="W20" s="140">
        <f>'LTO HS-laskenta'!P10</f>
        <v>1</v>
      </c>
      <c r="X20" s="141">
        <f>'LTO HS-laskenta'!Q10</f>
        <v>0.52083333333333337</v>
      </c>
      <c r="Y20" s="142">
        <f>'LTO HS-laskenta'!R10</f>
        <v>0.52083333333333337</v>
      </c>
      <c r="Z20" s="143">
        <f>'LTO HS-laskenta'!U10</f>
        <v>0</v>
      </c>
      <c r="AA20" s="144">
        <f>'LTO HS-laskenta'!V10</f>
        <v>0</v>
      </c>
      <c r="AB20" s="145">
        <f>'LTO HS-laskenta'!W10</f>
        <v>0</v>
      </c>
      <c r="AC20" s="22"/>
    </row>
    <row r="21" spans="2:29" x14ac:dyDescent="0.25">
      <c r="B21" s="30"/>
      <c r="N21" s="22"/>
      <c r="Q21" s="30"/>
      <c r="R21" s="135">
        <f>'LTO HS-laskenta'!F11</f>
        <v>-27</v>
      </c>
      <c r="S21" s="136">
        <f>'LTO HS-laskenta'!G11</f>
        <v>0</v>
      </c>
      <c r="T21" s="137">
        <f>'LTO HS-laskenta'!M11</f>
        <v>20</v>
      </c>
      <c r="U21" s="138">
        <f>'LTO HS-laskenta'!I11</f>
        <v>-5</v>
      </c>
      <c r="V21" s="139">
        <f>'LTO HS-laskenta'!N11</f>
        <v>-2</v>
      </c>
      <c r="W21" s="140">
        <f>'LTO HS-laskenta'!P11</f>
        <v>1</v>
      </c>
      <c r="X21" s="141">
        <f>'LTO HS-laskenta'!Q11</f>
        <v>0.53191489361702127</v>
      </c>
      <c r="Y21" s="142">
        <f>'LTO HS-laskenta'!R11</f>
        <v>0.53191489361702127</v>
      </c>
      <c r="Z21" s="143">
        <f>'LTO HS-laskenta'!U11</f>
        <v>0</v>
      </c>
      <c r="AA21" s="144">
        <f>'LTO HS-laskenta'!V11</f>
        <v>0</v>
      </c>
      <c r="AB21" s="145">
        <f>'LTO HS-laskenta'!W11</f>
        <v>0</v>
      </c>
      <c r="AC21" s="22"/>
    </row>
    <row r="22" spans="2:29" x14ac:dyDescent="0.25">
      <c r="B22" s="30"/>
      <c r="N22" s="22"/>
      <c r="Q22" s="30"/>
      <c r="R22" s="135">
        <f>'LTO HS-laskenta'!F12</f>
        <v>-26</v>
      </c>
      <c r="S22" s="136">
        <f>'LTO HS-laskenta'!G12</f>
        <v>0</v>
      </c>
      <c r="T22" s="137">
        <f>'LTO HS-laskenta'!M12</f>
        <v>20</v>
      </c>
      <c r="U22" s="138">
        <f>'LTO HS-laskenta'!I12</f>
        <v>-5</v>
      </c>
      <c r="V22" s="139">
        <f>'LTO HS-laskenta'!N12</f>
        <v>-1</v>
      </c>
      <c r="W22" s="140">
        <f>'LTO HS-laskenta'!P12</f>
        <v>1</v>
      </c>
      <c r="X22" s="141">
        <f>'LTO HS-laskenta'!Q12</f>
        <v>0.54347826086956519</v>
      </c>
      <c r="Y22" s="142">
        <f>'LTO HS-laskenta'!R12</f>
        <v>0.54347826086956519</v>
      </c>
      <c r="Z22" s="143">
        <f>'LTO HS-laskenta'!U12</f>
        <v>0</v>
      </c>
      <c r="AA22" s="144">
        <f>'LTO HS-laskenta'!V12</f>
        <v>0</v>
      </c>
      <c r="AB22" s="145">
        <f>'LTO HS-laskenta'!W12</f>
        <v>0</v>
      </c>
      <c r="AC22" s="22"/>
    </row>
    <row r="23" spans="2:29" ht="12.6" x14ac:dyDescent="0.25">
      <c r="B23" s="30"/>
      <c r="N23" s="22"/>
      <c r="Q23" s="30"/>
      <c r="R23" s="135">
        <f>'LTO HS-laskenta'!F13</f>
        <v>-25</v>
      </c>
      <c r="S23" s="136">
        <f>'LTO HS-laskenta'!G13</f>
        <v>0</v>
      </c>
      <c r="T23" s="137">
        <f>'LTO HS-laskenta'!M13</f>
        <v>20</v>
      </c>
      <c r="U23" s="138">
        <f>'LTO HS-laskenta'!I13</f>
        <v>-5</v>
      </c>
      <c r="V23" s="139">
        <f>'LTO HS-laskenta'!N13</f>
        <v>0</v>
      </c>
      <c r="W23" s="140">
        <f>'LTO HS-laskenta'!P13</f>
        <v>1</v>
      </c>
      <c r="X23" s="141">
        <f>'LTO HS-laskenta'!Q13</f>
        <v>0.55555555555555558</v>
      </c>
      <c r="Y23" s="142">
        <f>'LTO HS-laskenta'!R13</f>
        <v>0.55555555555555558</v>
      </c>
      <c r="Z23" s="143">
        <f>'LTO HS-laskenta'!U13</f>
        <v>0</v>
      </c>
      <c r="AA23" s="144">
        <f>'LTO HS-laskenta'!V13</f>
        <v>0</v>
      </c>
      <c r="AB23" s="145">
        <f>'LTO HS-laskenta'!W13</f>
        <v>0</v>
      </c>
      <c r="AC23" s="22"/>
    </row>
    <row r="24" spans="2:29" ht="12.6" x14ac:dyDescent="0.25">
      <c r="B24" s="30"/>
      <c r="N24" s="22"/>
      <c r="Q24" s="30"/>
      <c r="R24" s="135">
        <f>'LTO HS-laskenta'!F14</f>
        <v>-24</v>
      </c>
      <c r="S24" s="136">
        <f>'LTO HS-laskenta'!G14</f>
        <v>1.1415525114155251E-4</v>
      </c>
      <c r="T24" s="137">
        <f>'LTO HS-laskenta'!M14</f>
        <v>20</v>
      </c>
      <c r="U24" s="138">
        <f>'LTO HS-laskenta'!I14</f>
        <v>-5</v>
      </c>
      <c r="V24" s="139">
        <f>'LTO HS-laskenta'!N14</f>
        <v>1.0000000000000036</v>
      </c>
      <c r="W24" s="140">
        <f>'LTO HS-laskenta'!P14</f>
        <v>1</v>
      </c>
      <c r="X24" s="141">
        <f>'LTO HS-laskenta'!Q14</f>
        <v>0.56818181818181823</v>
      </c>
      <c r="Y24" s="142">
        <f>'LTO HS-laskenta'!R14</f>
        <v>0.56818181818181823</v>
      </c>
      <c r="Z24" s="143">
        <f>'LTO HS-laskenta'!U14</f>
        <v>1.8333333333333333</v>
      </c>
      <c r="AA24" s="144">
        <f>'LTO HS-laskenta'!V14</f>
        <v>1.0416666666666667</v>
      </c>
      <c r="AB24" s="145">
        <f>'LTO HS-laskenta'!W14</f>
        <v>1.0416666666666665</v>
      </c>
      <c r="AC24" s="22"/>
    </row>
    <row r="25" spans="2:29" ht="12.6" x14ac:dyDescent="0.25">
      <c r="B25" s="30"/>
      <c r="N25" s="22"/>
      <c r="Q25" s="30"/>
      <c r="R25" s="135">
        <f>'LTO HS-laskenta'!F15</f>
        <v>-23</v>
      </c>
      <c r="S25" s="136">
        <f>'LTO HS-laskenta'!G15</f>
        <v>3.4246575342465754E-4</v>
      </c>
      <c r="T25" s="137">
        <f>'LTO HS-laskenta'!M15</f>
        <v>20</v>
      </c>
      <c r="U25" s="138">
        <f>'LTO HS-laskenta'!I15</f>
        <v>-5</v>
      </c>
      <c r="V25" s="139">
        <f>'LTO HS-laskenta'!N15</f>
        <v>2</v>
      </c>
      <c r="W25" s="140">
        <f>'LTO HS-laskenta'!P15</f>
        <v>1</v>
      </c>
      <c r="X25" s="141">
        <f>'LTO HS-laskenta'!Q15</f>
        <v>0.58139534883720934</v>
      </c>
      <c r="Y25" s="142">
        <f>'LTO HS-laskenta'!R15</f>
        <v>0.58139534883720934</v>
      </c>
      <c r="Z25" s="143">
        <f>'LTO HS-laskenta'!U15</f>
        <v>3.5833333333333335</v>
      </c>
      <c r="AA25" s="144">
        <f>'LTO HS-laskenta'!V15</f>
        <v>2.0833333333333335</v>
      </c>
      <c r="AB25" s="145">
        <f>'LTO HS-laskenta'!W15</f>
        <v>2.0833333333333335</v>
      </c>
      <c r="AC25" s="22"/>
    </row>
    <row r="26" spans="2:29" ht="12.6" x14ac:dyDescent="0.25">
      <c r="B26" s="30"/>
      <c r="N26" s="22"/>
      <c r="Q26" s="30"/>
      <c r="R26" s="135">
        <f>'LTO HS-laskenta'!F16</f>
        <v>-22</v>
      </c>
      <c r="S26" s="136">
        <f>'LTO HS-laskenta'!G16</f>
        <v>5.7077625570776253E-4</v>
      </c>
      <c r="T26" s="137">
        <f>'LTO HS-laskenta'!M16</f>
        <v>20</v>
      </c>
      <c r="U26" s="138">
        <f>'LTO HS-laskenta'!I16</f>
        <v>-5</v>
      </c>
      <c r="V26" s="139">
        <f>'LTO HS-laskenta'!N16</f>
        <v>3</v>
      </c>
      <c r="W26" s="140">
        <f>'LTO HS-laskenta'!P16</f>
        <v>1</v>
      </c>
      <c r="X26" s="141">
        <f>'LTO HS-laskenta'!Q16</f>
        <v>0.59523809523809523</v>
      </c>
      <c r="Y26" s="142">
        <f>'LTO HS-laskenta'!R16</f>
        <v>0.59523809523809523</v>
      </c>
      <c r="Z26" s="143">
        <f>'LTO HS-laskenta'!U16</f>
        <v>3.4999999999999996</v>
      </c>
      <c r="AA26" s="144">
        <f>'LTO HS-laskenta'!V16</f>
        <v>2.083333333333333</v>
      </c>
      <c r="AB26" s="145">
        <f>'LTO HS-laskenta'!W16</f>
        <v>2.083333333333333</v>
      </c>
      <c r="AC26" s="22"/>
    </row>
    <row r="27" spans="2:29" ht="12.6" x14ac:dyDescent="0.25">
      <c r="B27" s="30"/>
      <c r="N27" s="22"/>
      <c r="Q27" s="30"/>
      <c r="R27" s="135">
        <f>'LTO HS-laskenta'!F17</f>
        <v>-21</v>
      </c>
      <c r="S27" s="136">
        <f>'LTO HS-laskenta'!G17</f>
        <v>1.1415525114155251E-3</v>
      </c>
      <c r="T27" s="137">
        <f>'LTO HS-laskenta'!M17</f>
        <v>20</v>
      </c>
      <c r="U27" s="138">
        <f>'LTO HS-laskenta'!I17</f>
        <v>-5</v>
      </c>
      <c r="V27" s="139">
        <f>'LTO HS-laskenta'!N17</f>
        <v>4</v>
      </c>
      <c r="W27" s="140">
        <f>'LTO HS-laskenta'!P17</f>
        <v>1</v>
      </c>
      <c r="X27" s="141">
        <f>'LTO HS-laskenta'!Q17</f>
        <v>0.6097560975609756</v>
      </c>
      <c r="Y27" s="142">
        <f>'LTO HS-laskenta'!R17</f>
        <v>0.6097560975609756</v>
      </c>
      <c r="Z27" s="143">
        <f>'LTO HS-laskenta'!U17</f>
        <v>8.5416666666666661</v>
      </c>
      <c r="AA27" s="144">
        <f>'LTO HS-laskenta'!V17</f>
        <v>5.208333333333333</v>
      </c>
      <c r="AB27" s="145">
        <f>'LTO HS-laskenta'!W17</f>
        <v>5.208333333333333</v>
      </c>
      <c r="AC27" s="22"/>
    </row>
    <row r="28" spans="2:29" ht="12.6" x14ac:dyDescent="0.25">
      <c r="B28" s="30"/>
      <c r="N28" s="22"/>
      <c r="Q28" s="30"/>
      <c r="R28" s="135">
        <f>'LTO HS-laskenta'!F18</f>
        <v>-20</v>
      </c>
      <c r="S28" s="136">
        <f>'LTO HS-laskenta'!G18</f>
        <v>2.8538812785388126E-3</v>
      </c>
      <c r="T28" s="137">
        <f>'LTO HS-laskenta'!M18</f>
        <v>20</v>
      </c>
      <c r="U28" s="138">
        <f>'LTO HS-laskenta'!I18</f>
        <v>-5</v>
      </c>
      <c r="V28" s="139">
        <f>'LTO HS-laskenta'!N18</f>
        <v>5</v>
      </c>
      <c r="W28" s="140">
        <f>'LTO HS-laskenta'!P18</f>
        <v>1</v>
      </c>
      <c r="X28" s="141">
        <f>'LTO HS-laskenta'!Q18</f>
        <v>0.625</v>
      </c>
      <c r="Y28" s="142">
        <f>'LTO HS-laskenta'!R18</f>
        <v>0.625</v>
      </c>
      <c r="Z28" s="143">
        <f>'LTO HS-laskenta'!U18</f>
        <v>25</v>
      </c>
      <c r="AA28" s="144">
        <f>'LTO HS-laskenta'!V18</f>
        <v>15.625</v>
      </c>
      <c r="AB28" s="145">
        <f>'LTO HS-laskenta'!W18</f>
        <v>15.625</v>
      </c>
      <c r="AC28" s="22"/>
    </row>
    <row r="29" spans="2:29" ht="12.6" x14ac:dyDescent="0.25">
      <c r="B29" s="30"/>
      <c r="N29" s="22"/>
      <c r="Q29" s="30"/>
      <c r="R29" s="135">
        <f>'LTO HS-laskenta'!F19</f>
        <v>-19</v>
      </c>
      <c r="S29" s="136">
        <f>'LTO HS-laskenta'!G19</f>
        <v>5.3652968036529683E-3</v>
      </c>
      <c r="T29" s="137">
        <f>'LTO HS-laskenta'!M19</f>
        <v>20</v>
      </c>
      <c r="U29" s="138">
        <f>'LTO HS-laskenta'!I19</f>
        <v>-5</v>
      </c>
      <c r="V29" s="139">
        <f>'LTO HS-laskenta'!N19</f>
        <v>6.0000000000000036</v>
      </c>
      <c r="W29" s="140">
        <f>'LTO HS-laskenta'!P19</f>
        <v>1</v>
      </c>
      <c r="X29" s="141">
        <f>'LTO HS-laskenta'!Q19</f>
        <v>0.64102564102564108</v>
      </c>
      <c r="Y29" s="142">
        <f>'LTO HS-laskenta'!R19</f>
        <v>0.64102564102564108</v>
      </c>
      <c r="Z29" s="143">
        <f>'LTO HS-laskenta'!U19</f>
        <v>35.750000000000007</v>
      </c>
      <c r="AA29" s="144">
        <f>'LTO HS-laskenta'!V19</f>
        <v>22.916666666666675</v>
      </c>
      <c r="AB29" s="145">
        <f>'LTO HS-laskenta'!W19</f>
        <v>22.916666666666671</v>
      </c>
      <c r="AC29" s="22"/>
    </row>
    <row r="30" spans="2:29" ht="12.6" x14ac:dyDescent="0.25">
      <c r="B30" s="30"/>
      <c r="N30" s="22"/>
      <c r="Q30" s="30"/>
      <c r="R30" s="135">
        <f>'LTO HS-laskenta'!F20</f>
        <v>-18</v>
      </c>
      <c r="S30" s="136">
        <f>'LTO HS-laskenta'!G20</f>
        <v>7.0776255707762558E-3</v>
      </c>
      <c r="T30" s="137">
        <f>'LTO HS-laskenta'!M20</f>
        <v>20</v>
      </c>
      <c r="U30" s="138">
        <f>'LTO HS-laskenta'!I20</f>
        <v>-5</v>
      </c>
      <c r="V30" s="139">
        <f>'LTO HS-laskenta'!N20</f>
        <v>7</v>
      </c>
      <c r="W30" s="140">
        <f>'LTO HS-laskenta'!P20</f>
        <v>1</v>
      </c>
      <c r="X30" s="141">
        <f>'LTO HS-laskenta'!Q20</f>
        <v>0.65789473684210531</v>
      </c>
      <c r="Y30" s="142">
        <f>'LTO HS-laskenta'!R20</f>
        <v>0.65789473684210531</v>
      </c>
      <c r="Z30" s="143">
        <f>'LTO HS-laskenta'!U20</f>
        <v>23.75</v>
      </c>
      <c r="AA30" s="144">
        <f>'LTO HS-laskenta'!V20</f>
        <v>15.625</v>
      </c>
      <c r="AB30" s="145">
        <f>'LTO HS-laskenta'!W20</f>
        <v>15.625</v>
      </c>
      <c r="AC30" s="22"/>
    </row>
    <row r="31" spans="2:29" ht="12.6" x14ac:dyDescent="0.25">
      <c r="B31" s="30"/>
      <c r="N31" s="22"/>
      <c r="Q31" s="30"/>
      <c r="R31" s="135">
        <f>'LTO HS-laskenta'!F21</f>
        <v>-17</v>
      </c>
      <c r="S31" s="136">
        <f>'LTO HS-laskenta'!G21</f>
        <v>9.2465753424657536E-3</v>
      </c>
      <c r="T31" s="137">
        <f>'LTO HS-laskenta'!M21</f>
        <v>20</v>
      </c>
      <c r="U31" s="138">
        <f>'LTO HS-laskenta'!I21</f>
        <v>-5</v>
      </c>
      <c r="V31" s="139">
        <f>'LTO HS-laskenta'!N21</f>
        <v>8</v>
      </c>
      <c r="W31" s="140">
        <f>'LTO HS-laskenta'!P21</f>
        <v>1</v>
      </c>
      <c r="X31" s="141">
        <f>'LTO HS-laskenta'!Q21</f>
        <v>0.67567567567567566</v>
      </c>
      <c r="Y31" s="142">
        <f>'LTO HS-laskenta'!R21</f>
        <v>0.67567567567567566</v>
      </c>
      <c r="Z31" s="143">
        <f>'LTO HS-laskenta'!U21</f>
        <v>29.291666666666668</v>
      </c>
      <c r="AA31" s="144">
        <f>'LTO HS-laskenta'!V21</f>
        <v>19.791666666666668</v>
      </c>
      <c r="AB31" s="145">
        <f>'LTO HS-laskenta'!W21</f>
        <v>19.791666666666668</v>
      </c>
      <c r="AC31" s="22"/>
    </row>
    <row r="32" spans="2:29" ht="12.6" x14ac:dyDescent="0.25">
      <c r="B32" s="30"/>
      <c r="N32" s="22"/>
      <c r="Q32" s="30"/>
      <c r="R32" s="135">
        <f>'LTO HS-laskenta'!F22</f>
        <v>-16</v>
      </c>
      <c r="S32" s="136">
        <f>'LTO HS-laskenta'!G22</f>
        <v>1.1872146118721462E-2</v>
      </c>
      <c r="T32" s="137">
        <f>'LTO HS-laskenta'!M22</f>
        <v>20</v>
      </c>
      <c r="U32" s="138">
        <f>'LTO HS-laskenta'!I22</f>
        <v>-5</v>
      </c>
      <c r="V32" s="139">
        <f>'LTO HS-laskenta'!N22</f>
        <v>9</v>
      </c>
      <c r="W32" s="140">
        <f>'LTO HS-laskenta'!P22</f>
        <v>1</v>
      </c>
      <c r="X32" s="141">
        <f>'LTO HS-laskenta'!Q22</f>
        <v>0.69444444444444442</v>
      </c>
      <c r="Y32" s="142">
        <f>'LTO HS-laskenta'!R22</f>
        <v>0.69444444444444442</v>
      </c>
      <c r="Z32" s="143">
        <f>'LTO HS-laskenta'!U22</f>
        <v>34.5</v>
      </c>
      <c r="AA32" s="144">
        <f>'LTO HS-laskenta'!V22</f>
        <v>23.958333333333336</v>
      </c>
      <c r="AB32" s="145">
        <f>'LTO HS-laskenta'!W22</f>
        <v>23.958333333333336</v>
      </c>
      <c r="AC32" s="22"/>
    </row>
    <row r="33" spans="2:29" ht="12.6" x14ac:dyDescent="0.25">
      <c r="B33" s="3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23"/>
      <c r="Q33" s="30"/>
      <c r="R33" s="135">
        <f>'LTO HS-laskenta'!F23</f>
        <v>-15</v>
      </c>
      <c r="S33" s="136">
        <f>'LTO HS-laskenta'!G23</f>
        <v>1.632420091324201E-2</v>
      </c>
      <c r="T33" s="137">
        <f>'LTO HS-laskenta'!M23</f>
        <v>20</v>
      </c>
      <c r="U33" s="138">
        <f>'LTO HS-laskenta'!I23</f>
        <v>-5</v>
      </c>
      <c r="V33" s="139">
        <f>'LTO HS-laskenta'!N23</f>
        <v>10</v>
      </c>
      <c r="W33" s="140">
        <f>'LTO HS-laskenta'!P23</f>
        <v>1</v>
      </c>
      <c r="X33" s="141">
        <f>'LTO HS-laskenta'!Q23</f>
        <v>0.7142857142857143</v>
      </c>
      <c r="Y33" s="142">
        <f>'LTO HS-laskenta'!R23</f>
        <v>0.7142857142857143</v>
      </c>
      <c r="Z33" s="143">
        <f>'LTO HS-laskenta'!U23</f>
        <v>56.875000000000014</v>
      </c>
      <c r="AA33" s="144">
        <f>'LTO HS-laskenta'!V23</f>
        <v>40.625000000000007</v>
      </c>
      <c r="AB33" s="145">
        <f>'LTO HS-laskenta'!W23</f>
        <v>40.625000000000007</v>
      </c>
      <c r="AC33" s="22"/>
    </row>
    <row r="34" spans="2:29" ht="12.6" x14ac:dyDescent="0.25">
      <c r="B34" s="30"/>
      <c r="N34" s="22"/>
      <c r="Q34" s="30"/>
      <c r="R34" s="135">
        <f>'LTO HS-laskenta'!F24</f>
        <v>-14</v>
      </c>
      <c r="S34" s="136">
        <f>'LTO HS-laskenta'!G24</f>
        <v>2.1917808219178082E-2</v>
      </c>
      <c r="T34" s="137">
        <f>'LTO HS-laskenta'!M24</f>
        <v>20</v>
      </c>
      <c r="U34" s="138">
        <f>'LTO HS-laskenta'!I24</f>
        <v>-5</v>
      </c>
      <c r="V34" s="139">
        <f>'LTO HS-laskenta'!N24</f>
        <v>11</v>
      </c>
      <c r="W34" s="140">
        <f>'LTO HS-laskenta'!P24</f>
        <v>1</v>
      </c>
      <c r="X34" s="141">
        <f>'LTO HS-laskenta'!Q24</f>
        <v>0.73529411764705888</v>
      </c>
      <c r="Y34" s="142">
        <f>'LTO HS-laskenta'!R24</f>
        <v>0.73529411764705888</v>
      </c>
      <c r="Z34" s="143">
        <f>'LTO HS-laskenta'!U24</f>
        <v>69.416666666666657</v>
      </c>
      <c r="AA34" s="144">
        <f>'LTO HS-laskenta'!V24</f>
        <v>51.041666666666664</v>
      </c>
      <c r="AB34" s="145">
        <f>'LTO HS-laskenta'!W24</f>
        <v>51.041666666666664</v>
      </c>
      <c r="AC34" s="22"/>
    </row>
    <row r="35" spans="2:29" x14ac:dyDescent="0.25">
      <c r="B35" s="30"/>
      <c r="C35" s="9" t="s">
        <v>367</v>
      </c>
      <c r="J35" s="4" t="s">
        <v>4</v>
      </c>
      <c r="L35" s="4" t="s">
        <v>9</v>
      </c>
      <c r="N35" s="22"/>
      <c r="Q35" s="30"/>
      <c r="R35" s="135">
        <f>'LTO HS-laskenta'!F25</f>
        <v>-13</v>
      </c>
      <c r="S35" s="136">
        <f>'LTO HS-laskenta'!G25</f>
        <v>2.8652968036529679E-2</v>
      </c>
      <c r="T35" s="137">
        <f>'LTO HS-laskenta'!M25</f>
        <v>20</v>
      </c>
      <c r="U35" s="138">
        <f>'LTO HS-laskenta'!I25</f>
        <v>-5</v>
      </c>
      <c r="V35" s="139">
        <f>'LTO HS-laskenta'!N25</f>
        <v>12</v>
      </c>
      <c r="W35" s="140">
        <f>'LTO HS-laskenta'!P25</f>
        <v>1</v>
      </c>
      <c r="X35" s="141">
        <f>'LTO HS-laskenta'!Q25</f>
        <v>0.75757575757575757</v>
      </c>
      <c r="Y35" s="142">
        <f>'LTO HS-laskenta'!R25</f>
        <v>0.75757575757575757</v>
      </c>
      <c r="Z35" s="143">
        <f>'LTO HS-laskenta'!U25</f>
        <v>81.124999999999986</v>
      </c>
      <c r="AA35" s="144">
        <f>'LTO HS-laskenta'!V25</f>
        <v>61.458333333333321</v>
      </c>
      <c r="AB35" s="145">
        <f>'LTO HS-laskenta'!W25</f>
        <v>61.458333333333321</v>
      </c>
      <c r="AC35" s="22"/>
    </row>
    <row r="36" spans="2:29" x14ac:dyDescent="0.25">
      <c r="B36" s="30"/>
      <c r="C36" s="18" t="s">
        <v>72</v>
      </c>
      <c r="D36" s="18"/>
      <c r="E36" s="18"/>
      <c r="F36" s="18"/>
      <c r="G36" s="350" t="str">
        <f>IF(AND('Laskenta tulopuoli'!N134,'Laskenta poistopuoli'!N135),"","Tarkasta lähtötarvot!")</f>
        <v/>
      </c>
      <c r="H36" s="18"/>
      <c r="I36" s="18"/>
      <c r="J36" s="125">
        <v>84</v>
      </c>
      <c r="K36" s="360" t="s">
        <v>223</v>
      </c>
      <c r="L36" s="125">
        <v>84</v>
      </c>
      <c r="M36" s="361" t="s">
        <v>223</v>
      </c>
      <c r="N36" s="22"/>
      <c r="P36" s="10"/>
      <c r="Q36" s="30"/>
      <c r="R36" s="135">
        <f>'LTO HS-laskenta'!F26</f>
        <v>-12</v>
      </c>
      <c r="S36" s="136">
        <f>'LTO HS-laskenta'!G26</f>
        <v>3.4589041095890408E-2</v>
      </c>
      <c r="T36" s="137">
        <f>'LTO HS-laskenta'!M26</f>
        <v>20</v>
      </c>
      <c r="U36" s="138">
        <f>'LTO HS-laskenta'!I26</f>
        <v>-5</v>
      </c>
      <c r="V36" s="139">
        <f>'LTO HS-laskenta'!N26</f>
        <v>13</v>
      </c>
      <c r="W36" s="140">
        <f>'LTO HS-laskenta'!P26</f>
        <v>1</v>
      </c>
      <c r="X36" s="141">
        <f>'LTO HS-laskenta'!Q26</f>
        <v>0.78125</v>
      </c>
      <c r="Y36" s="142">
        <f>'LTO HS-laskenta'!R26</f>
        <v>0.78125</v>
      </c>
      <c r="Z36" s="143">
        <f>'LTO HS-laskenta'!U26</f>
        <v>69.3333333333333</v>
      </c>
      <c r="AA36" s="144">
        <f>'LTO HS-laskenta'!V26</f>
        <v>54.166666666666643</v>
      </c>
      <c r="AB36" s="145">
        <f>'LTO HS-laskenta'!W26</f>
        <v>54.166666666666643</v>
      </c>
      <c r="AC36" s="22"/>
    </row>
    <row r="37" spans="2:29" x14ac:dyDescent="0.25">
      <c r="B37" s="30"/>
      <c r="C37" s="18" t="s">
        <v>73</v>
      </c>
      <c r="D37" s="18"/>
      <c r="E37" s="18"/>
      <c r="F37" s="18"/>
      <c r="G37" s="18"/>
      <c r="H37" s="18"/>
      <c r="I37" s="18"/>
      <c r="J37" s="126">
        <v>50</v>
      </c>
      <c r="K37" s="360" t="s">
        <v>11</v>
      </c>
      <c r="L37" s="126">
        <v>50</v>
      </c>
      <c r="M37" t="s">
        <v>11</v>
      </c>
      <c r="N37" s="22"/>
      <c r="Q37" s="30"/>
      <c r="R37" s="135">
        <f>'LTO HS-laskenta'!F27</f>
        <v>-11</v>
      </c>
      <c r="S37" s="136">
        <f>'LTO HS-laskenta'!G27</f>
        <v>4.0639269406392696E-2</v>
      </c>
      <c r="T37" s="137">
        <f>'LTO HS-laskenta'!M27</f>
        <v>20</v>
      </c>
      <c r="U37" s="138">
        <f>'LTO HS-laskenta'!I27</f>
        <v>-5</v>
      </c>
      <c r="V37" s="139">
        <f>'LTO HS-laskenta'!N27</f>
        <v>14</v>
      </c>
      <c r="W37" s="140">
        <f>'LTO HS-laskenta'!P27</f>
        <v>1</v>
      </c>
      <c r="X37" s="141">
        <f>'LTO HS-laskenta'!Q27</f>
        <v>0.80645161290322576</v>
      </c>
      <c r="Y37" s="142">
        <f>'LTO HS-laskenta'!R27</f>
        <v>0.80645161290322576</v>
      </c>
      <c r="Z37" s="143">
        <f>'LTO HS-laskenta'!U27</f>
        <v>68.4583333333334</v>
      </c>
      <c r="AA37" s="144">
        <f>'LTO HS-laskenta'!V27</f>
        <v>55.208333333333378</v>
      </c>
      <c r="AB37" s="145">
        <f>'LTO HS-laskenta'!W27</f>
        <v>55.208333333333378</v>
      </c>
      <c r="AC37" s="22"/>
    </row>
    <row r="38" spans="2:29" x14ac:dyDescent="0.25">
      <c r="B38" s="30"/>
      <c r="C38" s="6"/>
      <c r="N38" s="22"/>
      <c r="Q38" s="30"/>
      <c r="R38" s="135">
        <f>'LTO HS-laskenta'!F28</f>
        <v>-10</v>
      </c>
      <c r="S38" s="136">
        <f>'LTO HS-laskenta'!G28</f>
        <v>4.6575342465753428E-2</v>
      </c>
      <c r="T38" s="137">
        <f>'LTO HS-laskenta'!M28</f>
        <v>20</v>
      </c>
      <c r="U38" s="138">
        <f>'LTO HS-laskenta'!I28</f>
        <v>-5</v>
      </c>
      <c r="V38" s="139">
        <f>'LTO HS-laskenta'!N28</f>
        <v>15</v>
      </c>
      <c r="W38" s="140">
        <f>'LTO HS-laskenta'!P28</f>
        <v>1</v>
      </c>
      <c r="X38" s="141">
        <f>'LTO HS-laskenta'!Q28</f>
        <v>0.83333333333333337</v>
      </c>
      <c r="Y38" s="142">
        <f>'LTO HS-laskenta'!R28</f>
        <v>0.83333333333333337</v>
      </c>
      <c r="Z38" s="143">
        <f>'LTO HS-laskenta'!U28</f>
        <v>65.000000000000014</v>
      </c>
      <c r="AA38" s="144">
        <f>'LTO HS-laskenta'!V28</f>
        <v>54.166666666666671</v>
      </c>
      <c r="AB38" s="145">
        <f>'LTO HS-laskenta'!W28</f>
        <v>54.166666666666671</v>
      </c>
      <c r="AC38" s="22"/>
    </row>
    <row r="39" spans="2:29" x14ac:dyDescent="0.25">
      <c r="B39" s="30"/>
      <c r="C39" t="s">
        <v>42</v>
      </c>
      <c r="J39" s="4" t="s">
        <v>4</v>
      </c>
      <c r="L39" s="4" t="s">
        <v>9</v>
      </c>
      <c r="N39" s="22"/>
      <c r="Q39" s="30"/>
      <c r="R39" s="135">
        <f>'LTO HS-laskenta'!F29</f>
        <v>-9</v>
      </c>
      <c r="S39" s="136">
        <f>'LTO HS-laskenta'!G29</f>
        <v>5.4680365296803653E-2</v>
      </c>
      <c r="T39" s="137">
        <f>'LTO HS-laskenta'!M29</f>
        <v>20</v>
      </c>
      <c r="U39" s="138">
        <f>'LTO HS-laskenta'!I29</f>
        <v>-4.5258366406906809</v>
      </c>
      <c r="V39" s="139">
        <f>'LTO HS-laskenta'!N29</f>
        <v>15.525836640690681</v>
      </c>
      <c r="W39" s="140">
        <f>'LTO HS-laskenta'!P29</f>
        <v>1</v>
      </c>
      <c r="X39" s="141">
        <f>'LTO HS-laskenta'!Q29</f>
        <v>0.84571850485140276</v>
      </c>
      <c r="Y39" s="142">
        <f>'LTO HS-laskenta'!R29</f>
        <v>0.84571850485140276</v>
      </c>
      <c r="Z39" s="143">
        <f>'LTO HS-laskenta'!U29</f>
        <v>85.791666666666629</v>
      </c>
      <c r="AA39" s="144">
        <f>'LTO HS-laskenta'!V29</f>
        <v>72.55560006204324</v>
      </c>
      <c r="AB39" s="145">
        <f>'LTO HS-laskenta'!W29</f>
        <v>72.55560006204324</v>
      </c>
      <c r="AC39" s="22"/>
    </row>
    <row r="40" spans="2:29" x14ac:dyDescent="0.25">
      <c r="B40" s="30"/>
      <c r="C40" s="18" t="s">
        <v>14</v>
      </c>
      <c r="D40" s="18"/>
      <c r="E40" s="18"/>
      <c r="F40" s="18"/>
      <c r="G40" s="18"/>
      <c r="H40" s="18"/>
      <c r="I40" s="18"/>
      <c r="J40" s="362">
        <f>'Laskenta tulopuoli'!N65</f>
        <v>5.7887003716107381</v>
      </c>
      <c r="K40" s="364" t="s">
        <v>12</v>
      </c>
      <c r="L40" s="28">
        <f>'Laskenta poistopuoli'!N65</f>
        <v>5.4547727511868134</v>
      </c>
      <c r="M40" t="s">
        <v>12</v>
      </c>
      <c r="N40" s="22"/>
      <c r="Q40" s="30"/>
      <c r="R40" s="135">
        <f>'LTO HS-laskenta'!F30</f>
        <v>-8</v>
      </c>
      <c r="S40" s="136">
        <f>'LTO HS-laskenta'!G30</f>
        <v>6.3356164383561647E-2</v>
      </c>
      <c r="T40" s="137">
        <f>'LTO HS-laskenta'!M30</f>
        <v>20</v>
      </c>
      <c r="U40" s="138">
        <f>'LTO HS-laskenta'!I30</f>
        <v>-3.6801181358392761</v>
      </c>
      <c r="V40" s="139">
        <f>'LTO HS-laskenta'!N30</f>
        <v>15.680118135839276</v>
      </c>
      <c r="W40" s="140">
        <f>'LTO HS-laskenta'!P30</f>
        <v>1</v>
      </c>
      <c r="X40" s="141">
        <f>'LTO HS-laskenta'!Q30</f>
        <v>0.84571850485140276</v>
      </c>
      <c r="Y40" s="142">
        <f>'LTO HS-laskenta'!R30</f>
        <v>0.84571850485140276</v>
      </c>
      <c r="Z40" s="143">
        <f>'LTO HS-laskenta'!U30</f>
        <v>88.6666666666667</v>
      </c>
      <c r="AA40" s="144">
        <f>'LTO HS-laskenta'!V30</f>
        <v>74.987040763491066</v>
      </c>
      <c r="AB40" s="145">
        <f>'LTO HS-laskenta'!W30</f>
        <v>74.987040763491066</v>
      </c>
      <c r="AC40" s="22"/>
    </row>
    <row r="41" spans="2:29" ht="14.25" customHeight="1" x14ac:dyDescent="0.25">
      <c r="B41" s="30"/>
      <c r="C41" s="18" t="s">
        <v>17</v>
      </c>
      <c r="D41" s="18"/>
      <c r="E41" s="18"/>
      <c r="F41" s="18"/>
      <c r="G41" s="18"/>
      <c r="H41" s="18"/>
      <c r="I41" s="18"/>
      <c r="J41" s="363">
        <f>'Laskenta tulopuoli'!J117</f>
        <v>49.722015378100927</v>
      </c>
      <c r="K41" s="364" t="s">
        <v>3</v>
      </c>
      <c r="L41" s="27">
        <f>'Laskenta poistopuoli'!J118</f>
        <v>42.772607881119079</v>
      </c>
      <c r="M41" t="s">
        <v>3</v>
      </c>
      <c r="N41" s="22"/>
      <c r="Q41" s="30"/>
      <c r="R41" s="135">
        <f>'LTO HS-laskenta'!F31</f>
        <v>-7</v>
      </c>
      <c r="S41" s="136">
        <f>'LTO HS-laskenta'!G31</f>
        <v>7.4999999999999997E-2</v>
      </c>
      <c r="T41" s="137">
        <f>'LTO HS-laskenta'!M31</f>
        <v>20</v>
      </c>
      <c r="U41" s="138">
        <f>'LTO HS-laskenta'!I31</f>
        <v>-2.8343996309878747</v>
      </c>
      <c r="V41" s="139">
        <f>'LTO HS-laskenta'!N31</f>
        <v>15.834399630987875</v>
      </c>
      <c r="W41" s="140">
        <f>'LTO HS-laskenta'!P31</f>
        <v>1</v>
      </c>
      <c r="X41" s="141">
        <f>'LTO HS-laskenta'!Q31</f>
        <v>0.84571850485140276</v>
      </c>
      <c r="Y41" s="142">
        <f>'LTO HS-laskenta'!R31</f>
        <v>0.84571850485140276</v>
      </c>
      <c r="Z41" s="143">
        <f>'LTO HS-laskenta'!U31</f>
        <v>114.74999999999994</v>
      </c>
      <c r="AA41" s="144">
        <f>'LTO HS-laskenta'!V31</f>
        <v>97.046198431698429</v>
      </c>
      <c r="AB41" s="145">
        <f>'LTO HS-laskenta'!W31</f>
        <v>97.046198431698429</v>
      </c>
      <c r="AC41" s="22"/>
    </row>
    <row r="42" spans="2:29" x14ac:dyDescent="0.25">
      <c r="B42" s="30"/>
      <c r="N42" s="22"/>
      <c r="Q42" s="30"/>
      <c r="R42" s="135">
        <f>'LTO HS-laskenta'!F32</f>
        <v>-6</v>
      </c>
      <c r="S42" s="136">
        <f>'LTO HS-laskenta'!G32</f>
        <v>8.8470319634703198E-2</v>
      </c>
      <c r="T42" s="137">
        <f>'LTO HS-laskenta'!M32</f>
        <v>20</v>
      </c>
      <c r="U42" s="138">
        <f>'LTO HS-laskenta'!I32</f>
        <v>-1.9886811261364734</v>
      </c>
      <c r="V42" s="139">
        <f>'LTO HS-laskenta'!N32</f>
        <v>15.988681126136473</v>
      </c>
      <c r="W42" s="140">
        <f>'LTO HS-laskenta'!P32</f>
        <v>1</v>
      </c>
      <c r="X42" s="141">
        <f>'LTO HS-laskenta'!Q32</f>
        <v>0.84571850485140287</v>
      </c>
      <c r="Y42" s="142">
        <f>'LTO HS-laskenta'!R32</f>
        <v>0.84571850485140287</v>
      </c>
      <c r="Z42" s="143">
        <f>'LTO HS-laskenta'!U32</f>
        <v>127.83333333333337</v>
      </c>
      <c r="AA42" s="144">
        <f>'LTO HS-laskenta'!V32</f>
        <v>108.1110155368377</v>
      </c>
      <c r="AB42" s="145">
        <f>'LTO HS-laskenta'!W32</f>
        <v>108.1110155368377</v>
      </c>
      <c r="AC42" s="22"/>
    </row>
    <row r="43" spans="2:29" x14ac:dyDescent="0.25">
      <c r="B43" s="30"/>
      <c r="J43" s="563" t="s">
        <v>18</v>
      </c>
      <c r="K43" s="564"/>
      <c r="L43" s="42">
        <f>'SFP ja kokonaisteho'!D8</f>
        <v>98.546623259220013</v>
      </c>
      <c r="M43" t="s">
        <v>3</v>
      </c>
      <c r="N43" s="22"/>
      <c r="Q43" s="30"/>
      <c r="R43" s="135">
        <f>'LTO HS-laskenta'!F33</f>
        <v>-5</v>
      </c>
      <c r="S43" s="136">
        <f>'LTO HS-laskenta'!G33</f>
        <v>0.10547945205479452</v>
      </c>
      <c r="T43" s="137">
        <f>'LTO HS-laskenta'!M33</f>
        <v>20</v>
      </c>
      <c r="U43" s="138">
        <f>'LTO HS-laskenta'!I33</f>
        <v>-1.1429626212850685</v>
      </c>
      <c r="V43" s="139">
        <f>'LTO HS-laskenta'!N33</f>
        <v>16.142962621285069</v>
      </c>
      <c r="W43" s="140">
        <f>'LTO HS-laskenta'!P33</f>
        <v>1</v>
      </c>
      <c r="X43" s="141">
        <f>'LTO HS-laskenta'!Q33</f>
        <v>0.84571850485140276</v>
      </c>
      <c r="Y43" s="142">
        <f>'LTO HS-laskenta'!R33</f>
        <v>0.84571850485140276</v>
      </c>
      <c r="Z43" s="143">
        <f>'LTO HS-laskenta'!U33</f>
        <v>155.20833333333329</v>
      </c>
      <c r="AA43" s="144">
        <f>'LTO HS-laskenta'!V33</f>
        <v>131.26255960714477</v>
      </c>
      <c r="AB43" s="145">
        <f>'LTO HS-laskenta'!W33</f>
        <v>131.26255960714477</v>
      </c>
      <c r="AC43" s="22"/>
    </row>
    <row r="44" spans="2:29" ht="15.75" x14ac:dyDescent="0.25">
      <c r="B44" s="30"/>
      <c r="J44" s="563" t="s">
        <v>1</v>
      </c>
      <c r="K44" s="564"/>
      <c r="L44" s="409">
        <f>'SFP ja kokonaisteho'!D15</f>
        <v>1.1731740864192859</v>
      </c>
      <c r="M44" t="s">
        <v>70</v>
      </c>
      <c r="N44" s="22"/>
      <c r="Q44" s="30"/>
      <c r="R44" s="135">
        <f>'LTO HS-laskenta'!F34</f>
        <v>-4</v>
      </c>
      <c r="S44" s="136">
        <f>'LTO HS-laskenta'!G34</f>
        <v>0.12888127853881279</v>
      </c>
      <c r="T44" s="137">
        <f>'LTO HS-laskenta'!M34</f>
        <v>20</v>
      </c>
      <c r="U44" s="138">
        <f>'LTO HS-laskenta'!I34</f>
        <v>-0.29724411643366722</v>
      </c>
      <c r="V44" s="139">
        <f>'LTO HS-laskenta'!N34</f>
        <v>16.297244116433667</v>
      </c>
      <c r="W44" s="140">
        <f>'LTO HS-laskenta'!P34</f>
        <v>1</v>
      </c>
      <c r="X44" s="141">
        <f>'LTO HS-laskenta'!Q34</f>
        <v>0.84571850485140276</v>
      </c>
      <c r="Y44" s="142">
        <f>'LTO HS-laskenta'!R34</f>
        <v>0.84571850485140276</v>
      </c>
      <c r="Z44" s="143">
        <f>'LTO HS-laskenta'!U34</f>
        <v>205.00000000000006</v>
      </c>
      <c r="AA44" s="144">
        <f>'LTO HS-laskenta'!V34</f>
        <v>173.37229349453762</v>
      </c>
      <c r="AB44" s="145">
        <f>'LTO HS-laskenta'!W34</f>
        <v>173.37229349453762</v>
      </c>
      <c r="AC44" s="22"/>
    </row>
    <row r="45" spans="2:29" x14ac:dyDescent="0.25">
      <c r="B45" s="30"/>
      <c r="J45" s="14"/>
      <c r="K45" s="14"/>
      <c r="L45" s="41"/>
      <c r="N45" s="22"/>
      <c r="Q45" s="30"/>
      <c r="R45" s="135">
        <f>'LTO HS-laskenta'!F35</f>
        <v>-3</v>
      </c>
      <c r="S45" s="136">
        <f>'LTO HS-laskenta'!G35</f>
        <v>0.15570776255707763</v>
      </c>
      <c r="T45" s="137">
        <f>'LTO HS-laskenta'!M35</f>
        <v>20</v>
      </c>
      <c r="U45" s="138">
        <f>'LTO HS-laskenta'!I35</f>
        <v>0.54847438841773766</v>
      </c>
      <c r="V45" s="139">
        <f>'LTO HS-laskenta'!N35</f>
        <v>16.451525611582262</v>
      </c>
      <c r="W45" s="140">
        <f>'LTO HS-laskenta'!P35</f>
        <v>1</v>
      </c>
      <c r="X45" s="141">
        <f>'LTO HS-laskenta'!Q35</f>
        <v>0.84571850485140276</v>
      </c>
      <c r="Y45" s="142">
        <f>'LTO HS-laskenta'!R35</f>
        <v>0.84571850485140276</v>
      </c>
      <c r="Z45" s="143">
        <f>'LTO HS-laskenta'!U35</f>
        <v>225.2083333333334</v>
      </c>
      <c r="AA45" s="144">
        <f>'LTO HS-laskenta'!V35</f>
        <v>190.46285494674302</v>
      </c>
      <c r="AB45" s="145">
        <f>'LTO HS-laskenta'!W35</f>
        <v>190.46285494674302</v>
      </c>
      <c r="AC45" s="22"/>
    </row>
    <row r="46" spans="2:29" x14ac:dyDescent="0.25">
      <c r="B46" s="30"/>
      <c r="C46" s="9" t="s">
        <v>368</v>
      </c>
      <c r="J46" s="4" t="s">
        <v>4</v>
      </c>
      <c r="K46" s="14"/>
      <c r="L46" s="4" t="s">
        <v>9</v>
      </c>
      <c r="N46" s="22"/>
      <c r="Q46" s="30"/>
      <c r="R46" s="135">
        <f>'LTO HS-laskenta'!F36</f>
        <v>-2</v>
      </c>
      <c r="S46" s="136">
        <f>'LTO HS-laskenta'!G36</f>
        <v>0.18424657534246575</v>
      </c>
      <c r="T46" s="137">
        <f>'LTO HS-laskenta'!M36</f>
        <v>20</v>
      </c>
      <c r="U46" s="138">
        <f>'LTO HS-laskenta'!I36</f>
        <v>1.394192893269139</v>
      </c>
      <c r="V46" s="139">
        <f>'LTO HS-laskenta'!N36</f>
        <v>16.605807106730861</v>
      </c>
      <c r="W46" s="140">
        <f>'LTO HS-laskenta'!P36</f>
        <v>1</v>
      </c>
      <c r="X46" s="141">
        <f>'LTO HS-laskenta'!Q36</f>
        <v>0.84571850485140276</v>
      </c>
      <c r="Y46" s="142">
        <f>'LTO HS-laskenta'!R36</f>
        <v>0.84571850485140276</v>
      </c>
      <c r="Z46" s="143">
        <f>'LTO HS-laskenta'!U36</f>
        <v>229.16666666666654</v>
      </c>
      <c r="AA46" s="144">
        <f>'LTO HS-laskenta'!V36</f>
        <v>193.810490695113</v>
      </c>
      <c r="AB46" s="145">
        <f>'LTO HS-laskenta'!W36</f>
        <v>193.810490695113</v>
      </c>
      <c r="AC46" s="22"/>
    </row>
    <row r="47" spans="2:29" ht="15.75" customHeight="1" x14ac:dyDescent="0.25">
      <c r="B47" s="30"/>
      <c r="C47" s="18" t="s">
        <v>369</v>
      </c>
      <c r="D47" s="18"/>
      <c r="E47" s="18"/>
      <c r="F47" s="18"/>
      <c r="G47" s="18"/>
      <c r="H47" s="18"/>
      <c r="I47" s="23"/>
      <c r="J47" s="369">
        <f>'Laskenta tulopuoli'!M125</f>
        <v>0.73397194981325042</v>
      </c>
      <c r="K47" s="374"/>
      <c r="L47" s="369">
        <f>'Laskenta poistopuoli'!M126</f>
        <v>0.79259191303516463</v>
      </c>
      <c r="N47" s="22"/>
      <c r="Q47" s="30"/>
      <c r="R47" s="135">
        <f>'LTO HS-laskenta'!F37</f>
        <v>-1</v>
      </c>
      <c r="S47" s="136">
        <f>'LTO HS-laskenta'!G37</f>
        <v>0.20924657534246574</v>
      </c>
      <c r="T47" s="137">
        <f>'LTO HS-laskenta'!M37</f>
        <v>20</v>
      </c>
      <c r="U47" s="138">
        <f>'LTO HS-laskenta'!I37</f>
        <v>2.2399113981205403</v>
      </c>
      <c r="V47" s="139">
        <f>'LTO HS-laskenta'!N37</f>
        <v>16.76008860187946</v>
      </c>
      <c r="W47" s="140">
        <f>'LTO HS-laskenta'!P37</f>
        <v>1</v>
      </c>
      <c r="X47" s="141">
        <f>'LTO HS-laskenta'!Q37</f>
        <v>0.84571850485140287</v>
      </c>
      <c r="Y47" s="142">
        <f>'LTO HS-laskenta'!R37</f>
        <v>0.84571850485140287</v>
      </c>
      <c r="Z47" s="143">
        <f>'LTO HS-laskenta'!U37</f>
        <v>191.62499999999997</v>
      </c>
      <c r="AA47" s="144">
        <f>'LTO HS-laskenta'!V37</f>
        <v>162.06080849215004</v>
      </c>
      <c r="AB47" s="145">
        <f>'LTO HS-laskenta'!W37</f>
        <v>162.06080849215004</v>
      </c>
      <c r="AC47" s="22"/>
    </row>
    <row r="48" spans="2:29" ht="15.75" customHeight="1" x14ac:dyDescent="0.25">
      <c r="B48" s="30"/>
      <c r="C48" s="19" t="s">
        <v>374</v>
      </c>
      <c r="D48" s="19"/>
      <c r="E48" s="19"/>
      <c r="F48" s="19"/>
      <c r="G48" s="19"/>
      <c r="H48" s="19"/>
      <c r="I48" s="33"/>
      <c r="J48" s="370">
        <f>'Laskenta tulopuoli'!J124</f>
        <v>145.65364378431303</v>
      </c>
      <c r="K48" s="372" t="s">
        <v>10</v>
      </c>
      <c r="L48" s="370">
        <f>'Laskenta poistopuoli'!J125</f>
        <v>150.57772069495383</v>
      </c>
      <c r="M48" t="s">
        <v>10</v>
      </c>
      <c r="N48" s="22"/>
      <c r="Q48" s="30"/>
      <c r="R48" s="135">
        <f>'LTO HS-laskenta'!F38</f>
        <v>0</v>
      </c>
      <c r="S48" s="136">
        <f>'LTO HS-laskenta'!G38</f>
        <v>0.24920091324200913</v>
      </c>
      <c r="T48" s="137">
        <f>'LTO HS-laskenta'!M38</f>
        <v>20</v>
      </c>
      <c r="U48" s="138">
        <f>'LTO HS-laskenta'!I38</f>
        <v>3.0856299029719452</v>
      </c>
      <c r="V48" s="139">
        <f>'LTO HS-laskenta'!N38</f>
        <v>16.914370097028055</v>
      </c>
      <c r="W48" s="140">
        <f>'LTO HS-laskenta'!P38</f>
        <v>1</v>
      </c>
      <c r="X48" s="141">
        <f>'LTO HS-laskenta'!Q38</f>
        <v>0.84571850485140276</v>
      </c>
      <c r="Y48" s="142">
        <f>'LTO HS-laskenta'!R38</f>
        <v>0.84571850485140276</v>
      </c>
      <c r="Z48" s="143">
        <f>'LTO HS-laskenta'!U38</f>
        <v>291.66666666666674</v>
      </c>
      <c r="AA48" s="144">
        <f>'LTO HS-laskenta'!V38</f>
        <v>246.66789724832586</v>
      </c>
      <c r="AB48" s="145">
        <f>'LTO HS-laskenta'!W38</f>
        <v>246.66789724832586</v>
      </c>
      <c r="AC48" s="22"/>
    </row>
    <row r="49" spans="2:29" ht="15.75" customHeight="1" x14ac:dyDescent="0.25">
      <c r="B49" s="30"/>
      <c r="C49" s="18" t="s">
        <v>375</v>
      </c>
      <c r="D49" s="18"/>
      <c r="E49" s="18"/>
      <c r="F49" s="18"/>
      <c r="G49" s="18"/>
      <c r="H49" s="18"/>
      <c r="I49" s="18"/>
      <c r="J49" s="373">
        <f>'Laskenta tulopuoli'!K124</f>
        <v>150.33293613695827</v>
      </c>
      <c r="K49" s="372" t="s">
        <v>11</v>
      </c>
      <c r="L49" s="373">
        <f>'Laskenta poistopuoli'!K125</f>
        <v>160.66928833395357</v>
      </c>
      <c r="M49" t="s">
        <v>11</v>
      </c>
      <c r="N49" s="22"/>
      <c r="Q49" s="30"/>
      <c r="R49" s="135">
        <f>'LTO HS-laskenta'!F39</f>
        <v>1</v>
      </c>
      <c r="S49" s="136">
        <f>'LTO HS-laskenta'!G39</f>
        <v>0.30993150684931509</v>
      </c>
      <c r="T49" s="137">
        <f>'LTO HS-laskenta'!M39</f>
        <v>20</v>
      </c>
      <c r="U49" s="138">
        <f>'LTO HS-laskenta'!I39</f>
        <v>3.9313484078233465</v>
      </c>
      <c r="V49" s="139">
        <f>'LTO HS-laskenta'!N39</f>
        <v>17.068651592176654</v>
      </c>
      <c r="W49" s="140">
        <f>'LTO HS-laskenta'!P39</f>
        <v>1</v>
      </c>
      <c r="X49" s="141">
        <f>'LTO HS-laskenta'!Q39</f>
        <v>0.84571850485140276</v>
      </c>
      <c r="Y49" s="142">
        <f>'LTO HS-laskenta'!R39</f>
        <v>0.84571850485140276</v>
      </c>
      <c r="Z49" s="143">
        <f>'LTO HS-laskenta'!U39</f>
        <v>421.16666666666674</v>
      </c>
      <c r="AA49" s="144">
        <f>'LTO HS-laskenta'!V39</f>
        <v>356.18844362658263</v>
      </c>
      <c r="AB49" s="145">
        <f>'LTO HS-laskenta'!W39</f>
        <v>356.18844362658263</v>
      </c>
      <c r="AC49" s="22"/>
    </row>
    <row r="50" spans="2:29" ht="13.5" customHeight="1" x14ac:dyDescent="0.25">
      <c r="B50" s="30"/>
      <c r="C50" s="6"/>
      <c r="D50" s="6"/>
      <c r="E50" s="6"/>
      <c r="F50" s="6"/>
      <c r="G50" s="6"/>
      <c r="H50" s="6"/>
      <c r="I50" s="6"/>
      <c r="L50" s="41"/>
      <c r="N50" s="22"/>
      <c r="Q50" s="30"/>
      <c r="R50" s="135">
        <f>'LTO HS-laskenta'!F40</f>
        <v>2</v>
      </c>
      <c r="S50" s="136">
        <f>'LTO HS-laskenta'!G40</f>
        <v>0.36917808219178083</v>
      </c>
      <c r="T50" s="137">
        <f>'LTO HS-laskenta'!M40</f>
        <v>20</v>
      </c>
      <c r="U50" s="138">
        <f>'LTO HS-laskenta'!I40</f>
        <v>4.7770669126747496</v>
      </c>
      <c r="V50" s="139">
        <f>'LTO HS-laskenta'!N40</f>
        <v>17.222933087325252</v>
      </c>
      <c r="W50" s="140">
        <f>'LTO HS-laskenta'!P40</f>
        <v>1</v>
      </c>
      <c r="X50" s="141">
        <f>'LTO HS-laskenta'!Q40</f>
        <v>0.84571850485140276</v>
      </c>
      <c r="Y50" s="142">
        <f>'LTO HS-laskenta'!R40</f>
        <v>0.84571850485140276</v>
      </c>
      <c r="Z50" s="143">
        <f>'LTO HS-laskenta'!U40</f>
        <v>389.25</v>
      </c>
      <c r="AA50" s="144">
        <f>'LTO HS-laskenta'!V40</f>
        <v>329.19592801340855</v>
      </c>
      <c r="AB50" s="145">
        <f>'LTO HS-laskenta'!W40</f>
        <v>329.19592801340849</v>
      </c>
      <c r="AC50" s="22"/>
    </row>
    <row r="51" spans="2:29" ht="18" customHeight="1" x14ac:dyDescent="0.25">
      <c r="B51" s="30"/>
      <c r="C51" s="9" t="s">
        <v>201</v>
      </c>
      <c r="N51" s="22"/>
      <c r="Q51" s="30"/>
      <c r="R51" s="135">
        <f>'LTO HS-laskenta'!F41</f>
        <v>3</v>
      </c>
      <c r="S51" s="136">
        <f>'LTO HS-laskenta'!G41</f>
        <v>0.41598173515981735</v>
      </c>
      <c r="T51" s="137">
        <f>'LTO HS-laskenta'!M41</f>
        <v>20</v>
      </c>
      <c r="U51" s="138">
        <f>'LTO HS-laskenta'!I41</f>
        <v>5.6227854175261527</v>
      </c>
      <c r="V51" s="139">
        <f>'LTO HS-laskenta'!N41</f>
        <v>17.377214582473847</v>
      </c>
      <c r="W51" s="140">
        <f>'LTO HS-laskenta'!P41</f>
        <v>1</v>
      </c>
      <c r="X51" s="141">
        <f>'LTO HS-laskenta'!Q41</f>
        <v>0.84571850485140276</v>
      </c>
      <c r="Y51" s="142">
        <f>'LTO HS-laskenta'!R41</f>
        <v>0.84571850485140276</v>
      </c>
      <c r="Z51" s="143">
        <f>'LTO HS-laskenta'!U41</f>
        <v>290.41666666666657</v>
      </c>
      <c r="AA51" s="144">
        <f>'LTO HS-laskenta'!V41</f>
        <v>245.61074911726146</v>
      </c>
      <c r="AB51" s="145">
        <f>'LTO HS-laskenta'!W41</f>
        <v>245.61074911726146</v>
      </c>
      <c r="AC51" s="22"/>
    </row>
    <row r="52" spans="2:29" ht="15.75" customHeight="1" x14ac:dyDescent="0.3">
      <c r="B52" s="30"/>
      <c r="C52" s="561" t="s">
        <v>202</v>
      </c>
      <c r="D52" s="565" t="s">
        <v>175</v>
      </c>
      <c r="E52" s="565"/>
      <c r="F52" s="565"/>
      <c r="G52" s="565"/>
      <c r="H52" s="565"/>
      <c r="I52" s="565"/>
      <c r="J52" s="565"/>
      <c r="K52" s="565"/>
      <c r="L52" s="566" t="s">
        <v>197</v>
      </c>
      <c r="M52" s="566" t="s">
        <v>198</v>
      </c>
      <c r="N52" s="22"/>
      <c r="Q52" s="30"/>
      <c r="R52" s="135">
        <f>'LTO HS-laskenta'!F42</f>
        <v>4</v>
      </c>
      <c r="S52" s="136">
        <f>'LTO HS-laskenta'!G42</f>
        <v>0.45079908675799085</v>
      </c>
      <c r="T52" s="137">
        <f>'LTO HS-laskenta'!M42</f>
        <v>20</v>
      </c>
      <c r="U52" s="138">
        <f>'LTO HS-laskenta'!I42</f>
        <v>6.4685039223775558</v>
      </c>
      <c r="V52" s="139">
        <f>'LTO HS-laskenta'!N42</f>
        <v>17.531496077622442</v>
      </c>
      <c r="W52" s="140">
        <f>'LTO HS-laskenta'!P42</f>
        <v>1</v>
      </c>
      <c r="X52" s="141">
        <f>'LTO HS-laskenta'!Q42</f>
        <v>0.84571850485140276</v>
      </c>
      <c r="Y52" s="142">
        <f>'LTO HS-laskenta'!R42</f>
        <v>0.84571850485140276</v>
      </c>
      <c r="Z52" s="143">
        <f>'LTO HS-laskenta'!U42</f>
        <v>203.33333333333329</v>
      </c>
      <c r="AA52" s="144">
        <f>'LTO HS-laskenta'!V42</f>
        <v>171.96276265311852</v>
      </c>
      <c r="AB52" s="145">
        <f>'LTO HS-laskenta'!W42</f>
        <v>171.96276265311852</v>
      </c>
      <c r="AC52" s="22"/>
    </row>
    <row r="53" spans="2:29" ht="18" customHeight="1" x14ac:dyDescent="0.25">
      <c r="B53" s="30"/>
      <c r="C53" s="561"/>
      <c r="D53" s="163" t="s">
        <v>162</v>
      </c>
      <c r="E53" s="164" t="s">
        <v>163</v>
      </c>
      <c r="F53" s="164" t="s">
        <v>164</v>
      </c>
      <c r="G53" s="164" t="s">
        <v>165</v>
      </c>
      <c r="H53" s="164" t="s">
        <v>166</v>
      </c>
      <c r="I53" s="164" t="s">
        <v>167</v>
      </c>
      <c r="J53" s="164" t="s">
        <v>168</v>
      </c>
      <c r="K53" s="165" t="s">
        <v>169</v>
      </c>
      <c r="L53" s="565"/>
      <c r="M53" s="565"/>
      <c r="N53" s="22"/>
      <c r="Q53" s="30"/>
      <c r="R53" s="135">
        <f>'LTO HS-laskenta'!F43</f>
        <v>5</v>
      </c>
      <c r="S53" s="136">
        <f>'LTO HS-laskenta'!G43</f>
        <v>0.48413242009132418</v>
      </c>
      <c r="T53" s="137">
        <f>'LTO HS-laskenta'!M43</f>
        <v>20</v>
      </c>
      <c r="U53" s="138">
        <f>'LTO HS-laskenta'!I43</f>
        <v>7.3142224272289589</v>
      </c>
      <c r="V53" s="139">
        <f>'LTO HS-laskenta'!N43</f>
        <v>17.685777572771041</v>
      </c>
      <c r="W53" s="140">
        <f>'LTO HS-laskenta'!P43</f>
        <v>1</v>
      </c>
      <c r="X53" s="141">
        <f>'LTO HS-laskenta'!Q43</f>
        <v>0.84571850485140276</v>
      </c>
      <c r="Y53" s="142">
        <f>'LTO HS-laskenta'!R43</f>
        <v>0.84571850485140276</v>
      </c>
      <c r="Z53" s="143">
        <f>'LTO HS-laskenta'!U43</f>
        <v>182.49999999999997</v>
      </c>
      <c r="AA53" s="144">
        <f>'LTO HS-laskenta'!V43</f>
        <v>154.34362713538096</v>
      </c>
      <c r="AB53" s="145">
        <f>'LTO HS-laskenta'!W43</f>
        <v>154.34362713538096</v>
      </c>
      <c r="AC53" s="22"/>
    </row>
    <row r="54" spans="2:29" ht="13.5" customHeight="1" x14ac:dyDescent="0.25">
      <c r="B54" s="30"/>
      <c r="C54" s="315" t="s">
        <v>203</v>
      </c>
      <c r="D54" s="316">
        <f>'Laskenta äänitehotasot'!AL137</f>
        <v>62.781767929593748</v>
      </c>
      <c r="E54" s="316">
        <f>'Laskenta äänitehotasot'!AM137</f>
        <v>62.781767929593748</v>
      </c>
      <c r="F54" s="316">
        <f>'Laskenta äänitehotasot'!AN137</f>
        <v>65.781767929593741</v>
      </c>
      <c r="G54" s="316">
        <f>'Laskenta äänitehotasot'!AO137</f>
        <v>59.781767929593748</v>
      </c>
      <c r="H54" s="316">
        <f>'Laskenta äänitehotasot'!AP137</f>
        <v>51.781767929593748</v>
      </c>
      <c r="I54" s="316">
        <f>'Laskenta äänitehotasot'!AQ137</f>
        <v>50.781767929593748</v>
      </c>
      <c r="J54" s="316">
        <f>'Laskenta äänitehotasot'!AR137</f>
        <v>46.781767929593748</v>
      </c>
      <c r="K54" s="316">
        <f>'Laskenta äänitehotasot'!AS137</f>
        <v>35.781767929593748</v>
      </c>
      <c r="L54" s="316">
        <f>'Laskenta äänitehotasot'!AT137</f>
        <v>69.471301120615038</v>
      </c>
      <c r="M54" s="317">
        <f>'Laskenta äänitehotasot'!AU137</f>
        <v>61.781767929593748</v>
      </c>
      <c r="N54" s="22"/>
      <c r="Q54" s="30"/>
      <c r="R54" s="135">
        <f>'LTO HS-laskenta'!F44</f>
        <v>6</v>
      </c>
      <c r="S54" s="136">
        <f>'LTO HS-laskenta'!G44</f>
        <v>0.51586757990867582</v>
      </c>
      <c r="T54" s="137">
        <f>'LTO HS-laskenta'!M44</f>
        <v>20</v>
      </c>
      <c r="U54" s="138">
        <f>'LTO HS-laskenta'!I44</f>
        <v>8.159940932080362</v>
      </c>
      <c r="V54" s="139">
        <f>'LTO HS-laskenta'!N44</f>
        <v>17.84005906791964</v>
      </c>
      <c r="W54" s="140">
        <f>'LTO HS-laskenta'!P44</f>
        <v>1</v>
      </c>
      <c r="X54" s="141">
        <f>'LTO HS-laskenta'!Q44</f>
        <v>0.84571850485140276</v>
      </c>
      <c r="Y54" s="142">
        <f>'LTO HS-laskenta'!R44</f>
        <v>0.84571850485140276</v>
      </c>
      <c r="Z54" s="143">
        <f>'LTO HS-laskenta'!U44</f>
        <v>162.16666666666691</v>
      </c>
      <c r="AA54" s="144">
        <f>'LTO HS-laskenta'!V44</f>
        <v>137.14735087006937</v>
      </c>
      <c r="AB54" s="145">
        <f>'LTO HS-laskenta'!W44</f>
        <v>137.14735087006935</v>
      </c>
      <c r="AC54" s="22"/>
    </row>
    <row r="55" spans="2:29" ht="13.5" customHeight="1" x14ac:dyDescent="0.25">
      <c r="B55" s="30"/>
      <c r="C55" s="318" t="s">
        <v>204</v>
      </c>
      <c r="D55" s="319">
        <f>'Laskenta äänitehotasot'!AL138</f>
        <v>58.363315810427771</v>
      </c>
      <c r="E55" s="319">
        <f>'Laskenta äänitehotasot'!AM138</f>
        <v>58.363315810427771</v>
      </c>
      <c r="F55" s="319">
        <f>'Laskenta äänitehotasot'!AN138</f>
        <v>56.363315810427771</v>
      </c>
      <c r="G55" s="319">
        <f>'Laskenta äänitehotasot'!AO138</f>
        <v>56.363315810427771</v>
      </c>
      <c r="H55" s="319">
        <f>'Laskenta äänitehotasot'!AP138</f>
        <v>46.363315810427771</v>
      </c>
      <c r="I55" s="319">
        <f>'Laskenta äänitehotasot'!AQ138</f>
        <v>43.363315810427771</v>
      </c>
      <c r="J55" s="319">
        <f>'Laskenta äänitehotasot'!AR138</f>
        <v>32.363315810427771</v>
      </c>
      <c r="K55" s="319">
        <f>'Laskenta äänitehotasot'!AS138</f>
        <v>23.363315810427771</v>
      </c>
      <c r="L55" s="319">
        <f>'Laskenta äänitehotasot'!AT138</f>
        <v>63.62601225390128</v>
      </c>
      <c r="M55" s="320">
        <f>'Laskenta äänitehotasot'!AU138</f>
        <v>55.363315810427771</v>
      </c>
      <c r="N55" s="22"/>
      <c r="Q55" s="30"/>
      <c r="R55" s="135">
        <f>'LTO HS-laskenta'!F45</f>
        <v>7</v>
      </c>
      <c r="S55" s="136">
        <f>'LTO HS-laskenta'!G45</f>
        <v>0.55331050228310508</v>
      </c>
      <c r="T55" s="137">
        <f>'LTO HS-laskenta'!M45</f>
        <v>20</v>
      </c>
      <c r="U55" s="138">
        <f>'LTO HS-laskenta'!I45</f>
        <v>9.0056594369317633</v>
      </c>
      <c r="V55" s="139">
        <f>'LTO HS-laskenta'!N45</f>
        <v>17.994340563068235</v>
      </c>
      <c r="W55" s="140">
        <f>'LTO HS-laskenta'!P45</f>
        <v>1</v>
      </c>
      <c r="X55" s="141">
        <f>'LTO HS-laskenta'!Q45</f>
        <v>0.84571850485140287</v>
      </c>
      <c r="Y55" s="142">
        <f>'LTO HS-laskenta'!R45</f>
        <v>0.84571850485140287</v>
      </c>
      <c r="Z55" s="143">
        <f>'LTO HS-laskenta'!U45</f>
        <v>177.66666666666683</v>
      </c>
      <c r="AA55" s="144">
        <f>'LTO HS-laskenta'!V45</f>
        <v>150.25598769526599</v>
      </c>
      <c r="AB55" s="145">
        <f>'LTO HS-laskenta'!W45</f>
        <v>150.25598769526604</v>
      </c>
      <c r="AC55" s="22"/>
    </row>
    <row r="56" spans="2:29" ht="13.5" customHeight="1" x14ac:dyDescent="0.25">
      <c r="B56" s="30"/>
      <c r="C56" s="321" t="s">
        <v>205</v>
      </c>
      <c r="D56" s="322">
        <f>'Laskenta äänitehotasot'!AL139</f>
        <v>59.127289746229252</v>
      </c>
      <c r="E56" s="322">
        <f>'Laskenta äänitehotasot'!AM139</f>
        <v>58.127289746229252</v>
      </c>
      <c r="F56" s="322">
        <f>'Laskenta äänitehotasot'!AN139</f>
        <v>57.127289746229252</v>
      </c>
      <c r="G56" s="323">
        <f>'Laskenta äänitehotasot'!AO139</f>
        <v>58.127289746229252</v>
      </c>
      <c r="H56" s="322">
        <f>'Laskenta äänitehotasot'!AP139</f>
        <v>47.127289746229252</v>
      </c>
      <c r="I56" s="324">
        <f>'Laskenta äänitehotasot'!AQ139</f>
        <v>38.127289746229252</v>
      </c>
      <c r="J56" s="323">
        <f>'Laskenta äänitehotasot'!AR139</f>
        <v>26.127289746229252</v>
      </c>
      <c r="K56" s="322">
        <f>'Laskenta äänitehotasot'!AS139</f>
        <v>18.127289746229252</v>
      </c>
      <c r="L56" s="322">
        <f>'Laskenta äänitehotasot'!AT139</f>
        <v>64.300876629915095</v>
      </c>
      <c r="M56" s="325">
        <f>'Laskenta äänitehotasot'!AU139</f>
        <v>56.127289746229252</v>
      </c>
      <c r="N56" s="22"/>
      <c r="Q56" s="30"/>
      <c r="R56" s="135">
        <f>'LTO HS-laskenta'!F46</f>
        <v>8</v>
      </c>
      <c r="S56" s="136">
        <f>'LTO HS-laskenta'!G46</f>
        <v>0.58984018264840188</v>
      </c>
      <c r="T56" s="137">
        <f>'LTO HS-laskenta'!M46</f>
        <v>20</v>
      </c>
      <c r="U56" s="138">
        <f>'LTO HS-laskenta'!I46</f>
        <v>9.8513779417831664</v>
      </c>
      <c r="V56" s="139">
        <f>'LTO HS-laskenta'!N46</f>
        <v>18.148622058216834</v>
      </c>
      <c r="W56" s="140">
        <f>'LTO HS-laskenta'!P46</f>
        <v>1</v>
      </c>
      <c r="X56" s="141">
        <f>'LTO HS-laskenta'!Q46</f>
        <v>0.84571850485140276</v>
      </c>
      <c r="Y56" s="142">
        <f>'LTO HS-laskenta'!R46</f>
        <v>0.84571850485140276</v>
      </c>
      <c r="Z56" s="143">
        <f>'LTO HS-laskenta'!U46</f>
        <v>160</v>
      </c>
      <c r="AA56" s="144">
        <f>'LTO HS-laskenta'!V46</f>
        <v>135.31496077622444</v>
      </c>
      <c r="AB56" s="145">
        <f>'LTO HS-laskenta'!W46</f>
        <v>135.31496077622444</v>
      </c>
      <c r="AC56" s="22"/>
    </row>
    <row r="57" spans="2:29" ht="15.75" customHeight="1" x14ac:dyDescent="0.25">
      <c r="B57" s="30"/>
      <c r="C57" s="318" t="s">
        <v>206</v>
      </c>
      <c r="D57" s="319">
        <f>'Laskenta äänitehotasot'!AL140</f>
        <v>64.745864182903034</v>
      </c>
      <c r="E57" s="319">
        <f>'Laskenta äänitehotasot'!AM140</f>
        <v>64.745864182903034</v>
      </c>
      <c r="F57" s="319">
        <f>'Laskenta äänitehotasot'!AN140</f>
        <v>66.745864182903034</v>
      </c>
      <c r="G57" s="326">
        <f>'Laskenta äänitehotasot'!AO140</f>
        <v>60.745864182903034</v>
      </c>
      <c r="H57" s="319">
        <f>'Laskenta äänitehotasot'!AP140</f>
        <v>54.745864182903034</v>
      </c>
      <c r="I57" s="327">
        <f>'Laskenta äänitehotasot'!AQ140</f>
        <v>52.745864182903034</v>
      </c>
      <c r="J57" s="326">
        <f>'Laskenta äänitehotasot'!AR140</f>
        <v>46.745864182903034</v>
      </c>
      <c r="K57" s="319">
        <f>'Laskenta äänitehotasot'!AS140</f>
        <v>33.745864182903034</v>
      </c>
      <c r="L57" s="319">
        <f>'Laskenta äänitehotasot'!AT140</f>
        <v>70.939656374667223</v>
      </c>
      <c r="M57" s="320">
        <f>'Laskenta äänitehotasot'!AU140</f>
        <v>62.745864182903034</v>
      </c>
      <c r="N57" s="22"/>
      <c r="Q57" s="30"/>
      <c r="R57" s="135">
        <f>'LTO HS-laskenta'!F47</f>
        <v>9</v>
      </c>
      <c r="S57" s="136">
        <f>'LTO HS-laskenta'!G47</f>
        <v>0.61746575342465748</v>
      </c>
      <c r="T57" s="137">
        <f>'LTO HS-laskenta'!M47</f>
        <v>20</v>
      </c>
      <c r="U57" s="138">
        <f>'LTO HS-laskenta'!I47</f>
        <v>10.697096446634569</v>
      </c>
      <c r="V57" s="139">
        <f>'LTO HS-laskenta'!N47</f>
        <v>18.302903553365432</v>
      </c>
      <c r="W57" s="140">
        <f>'LTO HS-laskenta'!P47</f>
        <v>1</v>
      </c>
      <c r="X57" s="141">
        <f>'LTO HS-laskenta'!Q47</f>
        <v>0.84571850485140276</v>
      </c>
      <c r="Y57" s="142">
        <f>'LTO HS-laskenta'!R47</f>
        <v>0.84571850485140276</v>
      </c>
      <c r="Z57" s="143">
        <f>'LTO HS-laskenta'!U47</f>
        <v>110.91666666666625</v>
      </c>
      <c r="AA57" s="144">
        <f>'LTO HS-laskenta'!V47</f>
        <v>93.804277496434423</v>
      </c>
      <c r="AB57" s="145">
        <f>'LTO HS-laskenta'!W47</f>
        <v>93.804277496434395</v>
      </c>
      <c r="AC57" s="22"/>
    </row>
    <row r="58" spans="2:29" ht="15.75" customHeight="1" x14ac:dyDescent="0.25">
      <c r="B58" s="30"/>
      <c r="C58" s="328" t="s">
        <v>200</v>
      </c>
      <c r="D58" s="329">
        <f>'Laskenta äänitehotasot'!AL141</f>
        <v>46</v>
      </c>
      <c r="E58" s="329">
        <f>'Laskenta äänitehotasot'!AM141</f>
        <v>42</v>
      </c>
      <c r="F58" s="330">
        <f>'Laskenta äänitehotasot'!AN141</f>
        <v>45</v>
      </c>
      <c r="G58" s="329">
        <f>'Laskenta äänitehotasot'!AO141</f>
        <v>45</v>
      </c>
      <c r="H58" s="330">
        <f>'Laskenta äänitehotasot'!AP141</f>
        <v>37</v>
      </c>
      <c r="I58" s="331">
        <f>'Laskenta äänitehotasot'!AQ141</f>
        <v>25</v>
      </c>
      <c r="J58" s="329">
        <f>'Laskenta äänitehotasot'!AR141</f>
        <v>20</v>
      </c>
      <c r="K58" s="330">
        <f>'Laskenta äänitehotasot'!AS141</f>
        <v>15</v>
      </c>
      <c r="L58" s="330">
        <f>'Laskenta äänitehotasot'!AT141</f>
        <v>50.946979125106836</v>
      </c>
      <c r="M58" s="332">
        <f>'Laskenta äänitehotasot'!AU141</f>
        <v>44</v>
      </c>
      <c r="N58" s="22"/>
      <c r="Q58" s="30"/>
      <c r="R58" s="135">
        <f>'LTO HS-laskenta'!F48</f>
        <v>10</v>
      </c>
      <c r="S58" s="136">
        <f>'LTO HS-laskenta'!G48</f>
        <v>0.64394977168949774</v>
      </c>
      <c r="T58" s="137">
        <f>'LTO HS-laskenta'!M48</f>
        <v>20</v>
      </c>
      <c r="U58" s="138">
        <f>'LTO HS-laskenta'!I48</f>
        <v>11.542814951485973</v>
      </c>
      <c r="V58" s="139">
        <f>'LTO HS-laskenta'!N48</f>
        <v>18.457185048514027</v>
      </c>
      <c r="W58" s="140">
        <f>'LTO HS-laskenta'!P48</f>
        <v>1</v>
      </c>
      <c r="X58" s="141">
        <f>'LTO HS-laskenta'!Q48</f>
        <v>0.84571850485140276</v>
      </c>
      <c r="Y58" s="142">
        <f>'LTO HS-laskenta'!R48</f>
        <v>0.84571850485140276</v>
      </c>
      <c r="Z58" s="143">
        <f>'LTO HS-laskenta'!U48</f>
        <v>96.666666666666941</v>
      </c>
      <c r="AA58" s="144">
        <f>'LTO HS-laskenta'!V48</f>
        <v>81.752788802302504</v>
      </c>
      <c r="AB58" s="145">
        <f>'LTO HS-laskenta'!W48</f>
        <v>81.752788802302504</v>
      </c>
      <c r="AC58" s="22"/>
    </row>
    <row r="59" spans="2:29" ht="15.75" customHeight="1" x14ac:dyDescent="0.25">
      <c r="B59" s="30"/>
      <c r="C59" s="6"/>
      <c r="D59" s="6"/>
      <c r="E59" s="6"/>
      <c r="F59" s="6"/>
      <c r="G59" s="6"/>
      <c r="H59" s="6"/>
      <c r="I59" s="6"/>
      <c r="L59" s="41"/>
      <c r="N59" s="22"/>
      <c r="Q59" s="30"/>
      <c r="R59" s="135">
        <f>'LTO HS-laskenta'!F49</f>
        <v>11</v>
      </c>
      <c r="S59" s="136">
        <f>'LTO HS-laskenta'!G49</f>
        <v>0.67625570776255706</v>
      </c>
      <c r="T59" s="137">
        <f>'LTO HS-laskenta'!M49</f>
        <v>20</v>
      </c>
      <c r="U59" s="138">
        <f>'LTO HS-laskenta'!I49</f>
        <v>12.388533456337374</v>
      </c>
      <c r="V59" s="139">
        <f>'LTO HS-laskenta'!N49</f>
        <v>18.611466543662626</v>
      </c>
      <c r="W59" s="140">
        <f>'LTO HS-laskenta'!P49</f>
        <v>1</v>
      </c>
      <c r="X59" s="141">
        <f>'LTO HS-laskenta'!Q49</f>
        <v>0.84571850485140287</v>
      </c>
      <c r="Y59" s="142">
        <f>'LTO HS-laskenta'!R49</f>
        <v>0.84571850485140287</v>
      </c>
      <c r="Z59" s="143">
        <f>'LTO HS-laskenta'!U49</f>
        <v>106.12499999999986</v>
      </c>
      <c r="AA59" s="144">
        <f>'LTO HS-laskenta'!V49</f>
        <v>89.751876327355006</v>
      </c>
      <c r="AB59" s="145">
        <f>'LTO HS-laskenta'!W49</f>
        <v>89.751876327355006</v>
      </c>
      <c r="AC59" s="22"/>
    </row>
    <row r="60" spans="2:29" ht="15.75" customHeight="1" x14ac:dyDescent="0.25">
      <c r="B60" s="30"/>
      <c r="C60" s="9" t="s">
        <v>119</v>
      </c>
      <c r="N60" s="22"/>
      <c r="Q60" s="30"/>
      <c r="R60" s="146">
        <f>'LTO HS-laskenta'!F50</f>
        <v>12</v>
      </c>
      <c r="S60" s="147">
        <f>'LTO HS-laskenta'!G50</f>
        <v>0.71415525114155254</v>
      </c>
      <c r="T60" s="148">
        <f>'LTO HS-laskenta'!M50</f>
        <v>20</v>
      </c>
      <c r="U60" s="149">
        <f>'LTO HS-laskenta'!I50</f>
        <v>13.234251961188779</v>
      </c>
      <c r="V60" s="150">
        <f>'LTO HS-laskenta'!N50</f>
        <v>18.765748038811221</v>
      </c>
      <c r="W60" s="151">
        <f>'LTO HS-laskenta'!P50</f>
        <v>1</v>
      </c>
      <c r="X60" s="152">
        <f>'LTO HS-laskenta'!Q50</f>
        <v>0.84571850485140265</v>
      </c>
      <c r="Y60" s="153">
        <f>'LTO HS-laskenta'!R50</f>
        <v>0.84571850485140265</v>
      </c>
      <c r="Z60" s="154">
        <f>'LTO HS-laskenta'!U50</f>
        <v>110.6666666666668</v>
      </c>
      <c r="AA60" s="155">
        <f>'LTO HS-laskenta'!V50</f>
        <v>93.592847870222016</v>
      </c>
      <c r="AB60" s="156">
        <f>'LTO HS-laskenta'!W50</f>
        <v>93.592847870222016</v>
      </c>
      <c r="AC60" s="22"/>
    </row>
    <row r="61" spans="2:29" ht="15.75" customHeight="1" x14ac:dyDescent="0.25">
      <c r="B61" s="30"/>
      <c r="C61" t="s">
        <v>120</v>
      </c>
      <c r="N61" s="22"/>
      <c r="Q61" s="30"/>
      <c r="Y61" s="119" t="s">
        <v>142</v>
      </c>
      <c r="Z61" s="171">
        <f>SUM(Z16:Z60)</f>
        <v>4701.7500000000009</v>
      </c>
      <c r="AA61" s="171">
        <f t="shared" ref="AA61:AB61" si="0">SUM(AA16:AA60)</f>
        <v>3914.2583596617101</v>
      </c>
      <c r="AB61" s="171">
        <f t="shared" si="0"/>
        <v>3914.2583596617101</v>
      </c>
      <c r="AC61" s="22"/>
    </row>
    <row r="62" spans="2:29" ht="15.75" customHeight="1" x14ac:dyDescent="0.3">
      <c r="B62" s="30"/>
      <c r="C62" s="18" t="s">
        <v>158</v>
      </c>
      <c r="D62" s="18"/>
      <c r="E62" s="18"/>
      <c r="F62" s="18"/>
      <c r="G62" s="18"/>
      <c r="H62" s="18"/>
      <c r="I62" s="18"/>
      <c r="J62" s="18"/>
      <c r="K62" s="18"/>
      <c r="L62" s="127">
        <v>0</v>
      </c>
      <c r="M62" t="s">
        <v>122</v>
      </c>
      <c r="N62" s="22"/>
      <c r="Q62" s="30"/>
      <c r="R62" s="120" t="s">
        <v>140</v>
      </c>
      <c r="S62" s="121"/>
      <c r="T62" s="121"/>
      <c r="U62" s="121"/>
      <c r="V62" s="121"/>
      <c r="W62" s="121"/>
      <c r="X62" s="121"/>
      <c r="Y62" s="121"/>
      <c r="Z62" s="121"/>
      <c r="AA62" s="121"/>
      <c r="AB62" s="121"/>
      <c r="AC62" s="22"/>
    </row>
    <row r="63" spans="2:29" ht="17.25" customHeight="1" x14ac:dyDescent="0.3">
      <c r="B63" s="30"/>
      <c r="C63" s="19" t="s">
        <v>159</v>
      </c>
      <c r="D63" s="19"/>
      <c r="E63" s="19"/>
      <c r="F63" s="19"/>
      <c r="G63" s="19"/>
      <c r="H63" s="19"/>
      <c r="I63" s="19"/>
      <c r="J63" s="19"/>
      <c r="K63" s="19"/>
      <c r="L63" s="128">
        <v>0</v>
      </c>
      <c r="M63" t="s">
        <v>123</v>
      </c>
      <c r="N63" s="22"/>
      <c r="Q63" s="30"/>
      <c r="R63" s="122" t="s">
        <v>153</v>
      </c>
      <c r="S63" s="123" t="s">
        <v>134</v>
      </c>
      <c r="T63" s="123"/>
      <c r="U63" s="123"/>
      <c r="V63" s="123"/>
      <c r="W63" s="123"/>
      <c r="X63" s="123"/>
      <c r="Y63" s="123"/>
      <c r="Z63" s="123"/>
      <c r="AA63" s="123"/>
      <c r="AB63" s="121"/>
      <c r="AC63" s="22"/>
    </row>
    <row r="64" spans="2:29" ht="15" x14ac:dyDescent="0.3">
      <c r="B64" s="30"/>
      <c r="C64" s="19" t="s">
        <v>160</v>
      </c>
      <c r="D64" s="19"/>
      <c r="E64" s="19"/>
      <c r="F64" s="19"/>
      <c r="G64" s="19"/>
      <c r="H64" s="19"/>
      <c r="I64" s="19"/>
      <c r="J64" s="19"/>
      <c r="K64" s="19"/>
      <c r="L64" s="128">
        <v>20</v>
      </c>
      <c r="M64" t="s">
        <v>79</v>
      </c>
      <c r="N64" s="22"/>
      <c r="Q64" s="30"/>
      <c r="R64" s="122" t="s">
        <v>133</v>
      </c>
      <c r="S64" s="123" t="s">
        <v>366</v>
      </c>
      <c r="T64" s="123"/>
      <c r="U64" s="123"/>
      <c r="V64" s="123"/>
      <c r="W64" s="123"/>
      <c r="X64" s="123"/>
      <c r="Y64" s="123"/>
      <c r="Z64" s="123"/>
      <c r="AA64" s="123"/>
      <c r="AB64" s="121"/>
      <c r="AC64" s="22"/>
    </row>
    <row r="65" spans="2:29" ht="15" x14ac:dyDescent="0.3">
      <c r="B65" s="30"/>
      <c r="C65" s="19" t="s">
        <v>121</v>
      </c>
      <c r="D65" s="19"/>
      <c r="E65" s="19"/>
      <c r="F65" s="19"/>
      <c r="G65" s="19"/>
      <c r="H65" s="19"/>
      <c r="I65" s="19"/>
      <c r="J65" s="19"/>
      <c r="K65" s="19"/>
      <c r="L65" s="117">
        <v>-5</v>
      </c>
      <c r="M65" t="s">
        <v>79</v>
      </c>
      <c r="N65" s="22"/>
      <c r="Q65" s="30"/>
      <c r="R65" s="122" t="s">
        <v>143</v>
      </c>
      <c r="S65" s="123" t="s">
        <v>135</v>
      </c>
      <c r="T65" s="123"/>
      <c r="U65" s="123"/>
      <c r="V65" s="123"/>
      <c r="W65" s="123"/>
      <c r="X65" s="123"/>
      <c r="Y65" s="123"/>
      <c r="Z65" s="123"/>
      <c r="AA65" s="123"/>
      <c r="AB65" s="121"/>
      <c r="AC65" s="22"/>
    </row>
    <row r="66" spans="2:29" ht="15" x14ac:dyDescent="0.3">
      <c r="B66" s="30"/>
      <c r="C66" s="19" t="s">
        <v>161</v>
      </c>
      <c r="D66" s="19"/>
      <c r="E66" s="19"/>
      <c r="F66" s="19"/>
      <c r="G66" s="19"/>
      <c r="H66" s="19"/>
      <c r="I66" s="19"/>
      <c r="J66" s="19"/>
      <c r="K66" s="19"/>
      <c r="L66" s="128">
        <v>21</v>
      </c>
      <c r="M66" t="s">
        <v>79</v>
      </c>
      <c r="N66" s="22"/>
      <c r="Q66" s="30"/>
      <c r="R66" s="122" t="s">
        <v>154</v>
      </c>
      <c r="S66" s="123" t="s">
        <v>136</v>
      </c>
      <c r="T66" s="123"/>
      <c r="U66" s="123"/>
      <c r="V66" s="123"/>
      <c r="W66" s="123"/>
      <c r="X66" s="123"/>
      <c r="Y66" s="123"/>
      <c r="Z66" s="123"/>
      <c r="AA66" s="123"/>
      <c r="AB66" s="121"/>
      <c r="AC66" s="22"/>
    </row>
    <row r="67" spans="2:29" ht="15.75" customHeight="1" x14ac:dyDescent="0.3">
      <c r="B67" s="30"/>
      <c r="C67" s="19" t="s">
        <v>124</v>
      </c>
      <c r="D67" s="19"/>
      <c r="E67" s="19"/>
      <c r="F67" s="19"/>
      <c r="G67" s="19"/>
      <c r="H67" s="19"/>
      <c r="I67" s="19"/>
      <c r="J67" s="19"/>
      <c r="K67" s="19"/>
      <c r="L67" s="19"/>
      <c r="N67" s="22"/>
      <c r="Q67" s="30"/>
      <c r="R67" s="122" t="s">
        <v>144</v>
      </c>
      <c r="S67" s="123" t="s">
        <v>450</v>
      </c>
      <c r="T67" s="123"/>
      <c r="U67" s="123"/>
      <c r="V67" s="123"/>
      <c r="W67" s="123"/>
      <c r="X67" s="123"/>
      <c r="Y67" s="123"/>
      <c r="Z67" s="123"/>
      <c r="AA67" s="123"/>
      <c r="AB67" s="121"/>
      <c r="AC67" s="22"/>
    </row>
    <row r="68" spans="2:29" ht="14.25" x14ac:dyDescent="0.3">
      <c r="B68" s="30"/>
      <c r="N68" s="22"/>
      <c r="Q68" s="30"/>
      <c r="R68" s="122" t="s">
        <v>145</v>
      </c>
      <c r="S68" s="123" t="s">
        <v>137</v>
      </c>
      <c r="T68" s="123"/>
      <c r="U68" s="123"/>
      <c r="V68" s="123"/>
      <c r="W68" s="123"/>
      <c r="X68" s="123"/>
      <c r="Y68" s="123"/>
      <c r="Z68" s="123"/>
      <c r="AA68" s="123"/>
      <c r="AB68" s="121"/>
      <c r="AC68" s="22"/>
    </row>
    <row r="69" spans="2:29" ht="18.75" x14ac:dyDescent="0.35">
      <c r="B69" s="30"/>
      <c r="F69" s="567" t="s">
        <v>132</v>
      </c>
      <c r="G69" s="567"/>
      <c r="H69" s="567"/>
      <c r="I69" s="567"/>
      <c r="J69" s="567"/>
      <c r="K69" s="567"/>
      <c r="L69" s="157">
        <f>'LTO HS-laskenta'!D24</f>
        <v>0.83251095010617526</v>
      </c>
      <c r="N69" s="22"/>
      <c r="Q69" s="30"/>
      <c r="R69" s="122" t="s">
        <v>146</v>
      </c>
      <c r="S69" s="123" t="s">
        <v>138</v>
      </c>
      <c r="T69" s="123"/>
      <c r="U69" s="123"/>
      <c r="V69" s="123"/>
      <c r="W69" s="123"/>
      <c r="X69" s="123"/>
      <c r="Y69" s="123"/>
      <c r="Z69" s="123"/>
      <c r="AA69" s="123"/>
      <c r="AB69" s="121"/>
      <c r="AC69" s="22"/>
    </row>
    <row r="70" spans="2:29" ht="15.75" customHeight="1" x14ac:dyDescent="0.3">
      <c r="B70" s="30"/>
      <c r="F70" s="562" t="s">
        <v>129</v>
      </c>
      <c r="G70" s="562"/>
      <c r="H70" s="562"/>
      <c r="I70" s="562"/>
      <c r="J70" s="562"/>
      <c r="K70" s="562"/>
      <c r="L70" s="411">
        <f>'LTO HS-laskenta'!U55</f>
        <v>2217.6</v>
      </c>
      <c r="M70" t="s">
        <v>3</v>
      </c>
      <c r="N70" s="22"/>
      <c r="Q70" s="30"/>
      <c r="R70" s="122" t="s">
        <v>147</v>
      </c>
      <c r="S70" s="123" t="s">
        <v>139</v>
      </c>
      <c r="T70" s="123"/>
      <c r="U70" s="123"/>
      <c r="V70" s="123"/>
      <c r="W70" s="123"/>
      <c r="X70" s="123"/>
      <c r="Y70" s="123"/>
      <c r="Z70" s="123"/>
      <c r="AA70" s="123"/>
      <c r="AB70" s="121"/>
      <c r="AC70" s="22"/>
    </row>
    <row r="71" spans="2:29" ht="14.25" x14ac:dyDescent="0.3">
      <c r="B71" s="30"/>
      <c r="F71" s="562" t="s">
        <v>130</v>
      </c>
      <c r="G71" s="562"/>
      <c r="H71" s="562"/>
      <c r="I71" s="562"/>
      <c r="J71" s="562"/>
      <c r="K71" s="562"/>
      <c r="L71" s="411">
        <f>'LTO HS-laskenta'!U56</f>
        <v>11421.019814399995</v>
      </c>
      <c r="M71" t="s">
        <v>118</v>
      </c>
      <c r="N71" s="22"/>
      <c r="Q71" s="30"/>
      <c r="R71" s="122" t="s">
        <v>148</v>
      </c>
      <c r="S71" s="123" t="s">
        <v>155</v>
      </c>
      <c r="T71" s="123"/>
      <c r="U71" s="123"/>
      <c r="V71" s="123"/>
      <c r="W71" s="123"/>
      <c r="X71" s="123"/>
      <c r="Y71" s="123"/>
      <c r="Z71" s="123"/>
      <c r="AA71" s="123"/>
      <c r="AB71" s="121"/>
      <c r="AC71" s="22"/>
    </row>
    <row r="72" spans="2:29" ht="14.25" x14ac:dyDescent="0.3">
      <c r="B72" s="30"/>
      <c r="F72" s="562" t="s">
        <v>131</v>
      </c>
      <c r="G72" s="562"/>
      <c r="H72" s="562"/>
      <c r="I72" s="562"/>
      <c r="J72" s="562"/>
      <c r="K72" s="562"/>
      <c r="L72" s="411">
        <f>'LTO HS-laskenta'!U57</f>
        <v>9513.5144666357737</v>
      </c>
      <c r="M72" t="s">
        <v>118</v>
      </c>
      <c r="N72" s="22"/>
      <c r="Q72" s="30"/>
      <c r="R72" s="122" t="s">
        <v>149</v>
      </c>
      <c r="S72" s="123" t="s">
        <v>156</v>
      </c>
      <c r="T72" s="123"/>
      <c r="U72" s="123"/>
      <c r="V72" s="123"/>
      <c r="W72" s="123"/>
      <c r="X72" s="123"/>
      <c r="Y72" s="123"/>
      <c r="Z72" s="123"/>
      <c r="AA72" s="123"/>
      <c r="AB72" s="121"/>
      <c r="AC72" s="22"/>
    </row>
    <row r="73" spans="2:29" ht="14.25" x14ac:dyDescent="0.3">
      <c r="B73" s="30"/>
      <c r="N73" s="22"/>
      <c r="Q73" s="30"/>
      <c r="R73" s="122" t="s">
        <v>150</v>
      </c>
      <c r="S73" s="123" t="s">
        <v>157</v>
      </c>
      <c r="T73" s="123"/>
      <c r="U73" s="123"/>
      <c r="V73" s="123"/>
      <c r="W73" s="123"/>
      <c r="X73" s="123"/>
      <c r="Y73" s="123"/>
      <c r="Z73" s="123"/>
      <c r="AA73" s="123"/>
      <c r="AB73" s="121"/>
      <c r="AC73" s="22"/>
    </row>
    <row r="74" spans="2:29" ht="14.25" x14ac:dyDescent="0.3">
      <c r="B74" s="31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73" t="s">
        <v>207</v>
      </c>
      <c r="Q74" s="31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73" t="str">
        <f>N74</f>
        <v>v1.0</v>
      </c>
    </row>
    <row r="77" spans="2:29" x14ac:dyDescent="0.25">
      <c r="L77" s="4"/>
    </row>
  </sheetData>
  <sheetProtection algorithmName="SHA-512" hashValue="8QRYgpJBHyPWZTozh6fx7ifxz/DmmMcC/zxMkj3bf6DalPnmRa4XnIrXnB9V4/mbUGn6bmi2JPi3swBJtakjyg==" saltValue="R8X7iOflNF9O1F1+8eIBaQ==" spinCount="100000" sheet="1" objects="1" scenarios="1"/>
  <mergeCells count="12">
    <mergeCell ref="C52:C53"/>
    <mergeCell ref="D52:K52"/>
    <mergeCell ref="L52:L53"/>
    <mergeCell ref="M52:M53"/>
    <mergeCell ref="F69:K69"/>
    <mergeCell ref="Y9:Z9"/>
    <mergeCell ref="Y10:Z10"/>
    <mergeCell ref="F70:K70"/>
    <mergeCell ref="F71:K71"/>
    <mergeCell ref="F72:K72"/>
    <mergeCell ref="J43:K43"/>
    <mergeCell ref="J44:K4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6" orientation="portrait" r:id="rId1"/>
  <headerFooter>
    <oddFooter>&amp;C&amp;P/(&amp;N)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Drop Down 1">
              <controlPr defaultSize="0" autoLine="0" autoPict="0">
                <anchor moveWithCells="1">
                  <from>
                    <xdr:col>22</xdr:col>
                    <xdr:colOff>390525</xdr:colOff>
                    <xdr:row>5</xdr:row>
                    <xdr:rowOff>19050</xdr:rowOff>
                  </from>
                  <to>
                    <xdr:col>26</xdr:col>
                    <xdr:colOff>523875</xdr:colOff>
                    <xdr:row>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Drop Down 2">
              <controlPr defaultSize="0" autoLine="0" autoPict="0">
                <anchor moveWithCells="1">
                  <from>
                    <xdr:col>22</xdr:col>
                    <xdr:colOff>381000</xdr:colOff>
                    <xdr:row>2</xdr:row>
                    <xdr:rowOff>9525</xdr:rowOff>
                  </from>
                  <to>
                    <xdr:col>26</xdr:col>
                    <xdr:colOff>523875</xdr:colOff>
                    <xdr:row>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Drop Down 3">
              <controlPr defaultSize="0" autoLine="0" autoPict="0">
                <anchor moveWithCells="1">
                  <from>
                    <xdr:col>22</xdr:col>
                    <xdr:colOff>390525</xdr:colOff>
                    <xdr:row>3</xdr:row>
                    <xdr:rowOff>28575</xdr:rowOff>
                  </from>
                  <to>
                    <xdr:col>26</xdr:col>
                    <xdr:colOff>514350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Drop Down 4">
              <controlPr defaultSize="0" autoLine="0" autoPict="0">
                <anchor moveWithCells="1">
                  <from>
                    <xdr:col>22</xdr:col>
                    <xdr:colOff>390525</xdr:colOff>
                    <xdr:row>4</xdr:row>
                    <xdr:rowOff>19050</xdr:rowOff>
                  </from>
                  <to>
                    <xdr:col>26</xdr:col>
                    <xdr:colOff>514350</xdr:colOff>
                    <xdr:row>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8" name="Avatt. luetteloruutu 1">
              <controlPr defaultSize="0" autoLine="0" autoPict="0">
                <anchor moveWithCells="1">
                  <from>
                    <xdr:col>8</xdr:col>
                    <xdr:colOff>123825</xdr:colOff>
                    <xdr:row>66</xdr:row>
                    <xdr:rowOff>19050</xdr:rowOff>
                  </from>
                  <to>
                    <xdr:col>11</xdr:col>
                    <xdr:colOff>609600</xdr:colOff>
                    <xdr:row>66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F538-1E50-4C69-B97D-90E52E6C7596}">
  <dimension ref="C2:T45"/>
  <sheetViews>
    <sheetView workbookViewId="0">
      <selection activeCell="D4" sqref="D4"/>
    </sheetView>
  </sheetViews>
  <sheetFormatPr defaultRowHeight="13.5" x14ac:dyDescent="0.25"/>
  <cols>
    <col min="3" max="3" width="16.7109375" customWidth="1"/>
  </cols>
  <sheetData>
    <row r="2" spans="3:20" ht="40.5" x14ac:dyDescent="0.25">
      <c r="O2" s="251" t="s">
        <v>303</v>
      </c>
    </row>
    <row r="3" spans="3:20" x14ac:dyDescent="0.25">
      <c r="C3" t="s">
        <v>342</v>
      </c>
    </row>
    <row r="4" spans="3:20" x14ac:dyDescent="0.25">
      <c r="C4" t="s">
        <v>343</v>
      </c>
      <c r="D4" s="544">
        <f>N45</f>
        <v>6.0520000000000005</v>
      </c>
      <c r="E4" t="s">
        <v>3</v>
      </c>
      <c r="F4" s="6"/>
      <c r="O4" s="166" t="s">
        <v>301</v>
      </c>
      <c r="P4" s="166" t="s">
        <v>302</v>
      </c>
    </row>
    <row r="5" spans="3:20" x14ac:dyDescent="0.25">
      <c r="C5" t="s">
        <v>346</v>
      </c>
      <c r="D5" s="10">
        <f>Tulostus!J41</f>
        <v>49.722015378100927</v>
      </c>
      <c r="E5" t="s">
        <v>3</v>
      </c>
      <c r="O5" s="166">
        <v>10</v>
      </c>
      <c r="P5" s="166">
        <v>4</v>
      </c>
    </row>
    <row r="6" spans="3:20" x14ac:dyDescent="0.25">
      <c r="C6" t="s">
        <v>345</v>
      </c>
      <c r="D6" s="10">
        <f>Tulostus!L41</f>
        <v>42.772607881119079</v>
      </c>
      <c r="E6" t="s">
        <v>3</v>
      </c>
      <c r="O6" s="166">
        <v>20</v>
      </c>
      <c r="P6" s="166">
        <v>100</v>
      </c>
    </row>
    <row r="7" spans="3:20" x14ac:dyDescent="0.25">
      <c r="C7" s="6" t="s">
        <v>18</v>
      </c>
      <c r="D7" s="351">
        <f>SUM(D4:D6)</f>
        <v>98.546623259220013</v>
      </c>
      <c r="E7" s="6" t="s">
        <v>3</v>
      </c>
      <c r="O7" s="166">
        <v>30</v>
      </c>
      <c r="P7" s="166">
        <v>148.9</v>
      </c>
      <c r="S7">
        <v>170</v>
      </c>
      <c r="T7">
        <v>150</v>
      </c>
    </row>
    <row r="8" spans="3:20" x14ac:dyDescent="0.25">
      <c r="C8" t="s">
        <v>341</v>
      </c>
      <c r="D8" s="10">
        <f>IF(AND('Laskenta tulopuoli'!$N$134,'Laskenta poistopuoli'!$N$135),'SFP ja kokonaisteho'!D7,"-")</f>
        <v>98.546623259220013</v>
      </c>
      <c r="F8" s="159" t="s">
        <v>397</v>
      </c>
      <c r="O8" s="166">
        <v>45</v>
      </c>
      <c r="P8" s="166">
        <v>191.2</v>
      </c>
    </row>
    <row r="9" spans="3:20" x14ac:dyDescent="0.25">
      <c r="O9" s="166">
        <v>60</v>
      </c>
      <c r="P9" s="166">
        <v>206.8</v>
      </c>
    </row>
    <row r="10" spans="3:20" x14ac:dyDescent="0.25">
      <c r="C10" t="s">
        <v>347</v>
      </c>
      <c r="D10">
        <f>Tulostus!J36</f>
        <v>84</v>
      </c>
      <c r="E10" t="s">
        <v>223</v>
      </c>
      <c r="O10" s="166">
        <v>70</v>
      </c>
      <c r="P10" s="166">
        <v>205.6</v>
      </c>
    </row>
    <row r="11" spans="3:20" x14ac:dyDescent="0.25">
      <c r="C11" t="s">
        <v>199</v>
      </c>
      <c r="D11">
        <f>Tulostus!L36</f>
        <v>84</v>
      </c>
      <c r="E11" t="s">
        <v>223</v>
      </c>
      <c r="O11" s="166">
        <v>90</v>
      </c>
      <c r="P11" s="166">
        <v>181.5</v>
      </c>
    </row>
    <row r="12" spans="3:20" x14ac:dyDescent="0.25">
      <c r="C12" t="s">
        <v>190</v>
      </c>
      <c r="D12">
        <f>MAX(D10:D11)</f>
        <v>84</v>
      </c>
      <c r="E12" t="s">
        <v>223</v>
      </c>
      <c r="O12" s="166">
        <v>110</v>
      </c>
      <c r="P12" s="166">
        <v>134.69999999999999</v>
      </c>
    </row>
    <row r="13" spans="3:20" x14ac:dyDescent="0.25">
      <c r="O13" s="166">
        <v>130</v>
      </c>
      <c r="P13" s="166">
        <v>70.2</v>
      </c>
    </row>
    <row r="14" spans="3:20" x14ac:dyDescent="0.25">
      <c r="C14" t="s">
        <v>1</v>
      </c>
      <c r="D14" s="352">
        <f>D7/D12</f>
        <v>1.1731740864192859</v>
      </c>
      <c r="E14" t="s">
        <v>348</v>
      </c>
      <c r="O14" s="166">
        <v>140</v>
      </c>
      <c r="P14" s="166">
        <v>31.2</v>
      </c>
    </row>
    <row r="15" spans="3:20" x14ac:dyDescent="0.25">
      <c r="C15" t="s">
        <v>341</v>
      </c>
      <c r="D15" s="1">
        <f>IF(AND('Laskenta tulopuoli'!$N$134,'Laskenta poistopuoli'!$N$135),'SFP ja kokonaisteho'!D14,"-")</f>
        <v>1.1731740864192859</v>
      </c>
      <c r="F15" s="159" t="s">
        <v>397</v>
      </c>
      <c r="O15" s="166">
        <v>145</v>
      </c>
      <c r="P15" s="166">
        <v>10</v>
      </c>
    </row>
    <row r="16" spans="3:20" x14ac:dyDescent="0.25">
      <c r="O16" s="166">
        <v>148</v>
      </c>
      <c r="P16" s="166">
        <v>2</v>
      </c>
    </row>
    <row r="18" spans="3:16" x14ac:dyDescent="0.25">
      <c r="O18" t="s">
        <v>361</v>
      </c>
    </row>
    <row r="19" spans="3:16" x14ac:dyDescent="0.25">
      <c r="O19" s="166" t="s">
        <v>223</v>
      </c>
      <c r="P19" s="166" t="s">
        <v>282</v>
      </c>
    </row>
    <row r="20" spans="3:16" x14ac:dyDescent="0.25">
      <c r="O20" s="166">
        <v>75</v>
      </c>
      <c r="P20" s="166">
        <v>210</v>
      </c>
    </row>
    <row r="27" spans="3:16" x14ac:dyDescent="0.25">
      <c r="C27" t="s">
        <v>456</v>
      </c>
    </row>
    <row r="28" spans="3:16" x14ac:dyDescent="0.25">
      <c r="C28" t="s">
        <v>457</v>
      </c>
      <c r="D28" t="s">
        <v>458</v>
      </c>
      <c r="E28" t="s">
        <v>459</v>
      </c>
      <c r="F28" t="s">
        <v>460</v>
      </c>
      <c r="G28" t="s">
        <v>461</v>
      </c>
    </row>
    <row r="29" spans="3:16" x14ac:dyDescent="0.25">
      <c r="C29" t="s">
        <v>462</v>
      </c>
      <c r="D29" t="s">
        <v>463</v>
      </c>
      <c r="E29" t="s">
        <v>460</v>
      </c>
      <c r="F29" t="s">
        <v>464</v>
      </c>
      <c r="G29">
        <v>2.0299999999999998</v>
      </c>
    </row>
    <row r="30" spans="3:16" x14ac:dyDescent="0.25">
      <c r="C30" t="s">
        <v>456</v>
      </c>
    </row>
    <row r="31" spans="3:16" x14ac:dyDescent="0.25">
      <c r="C31" t="s">
        <v>465</v>
      </c>
      <c r="D31" t="s">
        <v>466</v>
      </c>
      <c r="E31" t="s">
        <v>467</v>
      </c>
      <c r="F31" t="s">
        <v>468</v>
      </c>
      <c r="G31" t="s">
        <v>469</v>
      </c>
      <c r="H31" t="s">
        <v>470</v>
      </c>
      <c r="I31" t="s">
        <v>471</v>
      </c>
    </row>
    <row r="32" spans="3:16" x14ac:dyDescent="0.25">
      <c r="C32" t="s">
        <v>456</v>
      </c>
    </row>
    <row r="33" spans="3:15" x14ac:dyDescent="0.25">
      <c r="C33" s="543">
        <v>0.65028935185185188</v>
      </c>
      <c r="D33" t="s">
        <v>472</v>
      </c>
      <c r="E33" t="s">
        <v>473</v>
      </c>
      <c r="F33">
        <v>230.5</v>
      </c>
      <c r="G33" t="s">
        <v>12</v>
      </c>
      <c r="H33" t="s">
        <v>474</v>
      </c>
      <c r="I33" t="s">
        <v>473</v>
      </c>
      <c r="J33">
        <v>6.93E-2</v>
      </c>
      <c r="K33" t="s">
        <v>6</v>
      </c>
      <c r="L33" t="s">
        <v>187</v>
      </c>
      <c r="M33" t="s">
        <v>473</v>
      </c>
      <c r="N33">
        <v>5.81</v>
      </c>
      <c r="O33" t="s">
        <v>475</v>
      </c>
    </row>
    <row r="34" spans="3:15" x14ac:dyDescent="0.25">
      <c r="C34" s="543">
        <v>0.65030092592592592</v>
      </c>
      <c r="D34" t="s">
        <v>472</v>
      </c>
      <c r="E34" t="s">
        <v>473</v>
      </c>
      <c r="F34">
        <v>230.2</v>
      </c>
      <c r="G34" t="s">
        <v>12</v>
      </c>
      <c r="H34" t="s">
        <v>474</v>
      </c>
      <c r="I34" t="s">
        <v>473</v>
      </c>
      <c r="J34">
        <v>6.9099999999999995E-2</v>
      </c>
      <c r="K34" t="s">
        <v>6</v>
      </c>
      <c r="L34" t="s">
        <v>187</v>
      </c>
      <c r="M34" t="s">
        <v>473</v>
      </c>
      <c r="N34">
        <v>6.05</v>
      </c>
      <c r="O34" t="s">
        <v>475</v>
      </c>
    </row>
    <row r="35" spans="3:15" x14ac:dyDescent="0.25">
      <c r="C35" s="543">
        <v>0.65031249999999996</v>
      </c>
      <c r="D35" t="s">
        <v>472</v>
      </c>
      <c r="E35" t="s">
        <v>473</v>
      </c>
      <c r="F35">
        <v>230.1</v>
      </c>
      <c r="G35" t="s">
        <v>12</v>
      </c>
      <c r="H35" t="s">
        <v>474</v>
      </c>
      <c r="I35" t="s">
        <v>473</v>
      </c>
      <c r="J35">
        <v>6.6500000000000004E-2</v>
      </c>
      <c r="K35" t="s">
        <v>6</v>
      </c>
      <c r="L35" t="s">
        <v>187</v>
      </c>
      <c r="M35" t="s">
        <v>473</v>
      </c>
      <c r="N35">
        <v>6.28</v>
      </c>
      <c r="O35" t="s">
        <v>475</v>
      </c>
    </row>
    <row r="36" spans="3:15" x14ac:dyDescent="0.25">
      <c r="C36" s="543">
        <v>0.65032407407407411</v>
      </c>
      <c r="D36" t="s">
        <v>472</v>
      </c>
      <c r="E36" t="s">
        <v>473</v>
      </c>
      <c r="F36">
        <v>230.1</v>
      </c>
      <c r="G36" t="s">
        <v>12</v>
      </c>
      <c r="H36" t="s">
        <v>474</v>
      </c>
      <c r="I36" t="s">
        <v>473</v>
      </c>
      <c r="J36">
        <v>7.17E-2</v>
      </c>
      <c r="K36" t="s">
        <v>6</v>
      </c>
      <c r="L36" t="s">
        <v>187</v>
      </c>
      <c r="M36" t="s">
        <v>473</v>
      </c>
      <c r="N36">
        <v>6.32</v>
      </c>
      <c r="O36" t="s">
        <v>475</v>
      </c>
    </row>
    <row r="37" spans="3:15" x14ac:dyDescent="0.25">
      <c r="C37" s="543">
        <v>0.65033564814814815</v>
      </c>
      <c r="D37" t="s">
        <v>472</v>
      </c>
      <c r="E37" t="s">
        <v>473</v>
      </c>
      <c r="F37">
        <v>230</v>
      </c>
      <c r="G37" t="s">
        <v>12</v>
      </c>
      <c r="H37" t="s">
        <v>474</v>
      </c>
      <c r="I37" t="s">
        <v>473</v>
      </c>
      <c r="J37">
        <v>7.2900000000000006E-2</v>
      </c>
      <c r="K37" t="s">
        <v>6</v>
      </c>
      <c r="L37" t="s">
        <v>187</v>
      </c>
      <c r="M37" t="s">
        <v>473</v>
      </c>
      <c r="N37">
        <v>5.71</v>
      </c>
      <c r="O37" t="s">
        <v>475</v>
      </c>
    </row>
    <row r="38" spans="3:15" x14ac:dyDescent="0.25">
      <c r="C38" s="543">
        <v>0.65034722222222219</v>
      </c>
      <c r="D38" t="s">
        <v>472</v>
      </c>
      <c r="E38" t="s">
        <v>473</v>
      </c>
      <c r="F38">
        <v>230.2</v>
      </c>
      <c r="G38" t="s">
        <v>12</v>
      </c>
      <c r="H38" t="s">
        <v>474</v>
      </c>
      <c r="I38" t="s">
        <v>473</v>
      </c>
      <c r="J38">
        <v>6.9500000000000006E-2</v>
      </c>
      <c r="K38" t="s">
        <v>6</v>
      </c>
      <c r="L38" t="s">
        <v>187</v>
      </c>
      <c r="M38" t="s">
        <v>473</v>
      </c>
      <c r="N38">
        <v>5.96</v>
      </c>
      <c r="O38" t="s">
        <v>475</v>
      </c>
    </row>
    <row r="39" spans="3:15" x14ac:dyDescent="0.25">
      <c r="C39" s="543">
        <v>0.65035879629629634</v>
      </c>
      <c r="D39" t="s">
        <v>472</v>
      </c>
      <c r="E39" t="s">
        <v>473</v>
      </c>
      <c r="F39">
        <v>230.1</v>
      </c>
      <c r="G39" t="s">
        <v>12</v>
      </c>
      <c r="H39" t="s">
        <v>474</v>
      </c>
      <c r="I39" t="s">
        <v>473</v>
      </c>
      <c r="J39">
        <v>6.9900000000000004E-2</v>
      </c>
      <c r="K39" t="s">
        <v>6</v>
      </c>
      <c r="L39" t="s">
        <v>187</v>
      </c>
      <c r="M39" t="s">
        <v>473</v>
      </c>
      <c r="N39">
        <v>6.28</v>
      </c>
      <c r="O39" t="s">
        <v>475</v>
      </c>
    </row>
    <row r="40" spans="3:15" x14ac:dyDescent="0.25">
      <c r="C40" s="543">
        <v>0.65037037037037038</v>
      </c>
      <c r="D40" t="s">
        <v>472</v>
      </c>
      <c r="E40" t="s">
        <v>473</v>
      </c>
      <c r="F40">
        <v>230.2</v>
      </c>
      <c r="G40" t="s">
        <v>12</v>
      </c>
      <c r="H40" t="s">
        <v>474</v>
      </c>
      <c r="I40" t="s">
        <v>473</v>
      </c>
      <c r="J40">
        <v>7.1400000000000005E-2</v>
      </c>
      <c r="K40" t="s">
        <v>6</v>
      </c>
      <c r="L40" t="s">
        <v>187</v>
      </c>
      <c r="M40" t="s">
        <v>473</v>
      </c>
      <c r="N40">
        <v>5.77</v>
      </c>
      <c r="O40" t="s">
        <v>475</v>
      </c>
    </row>
    <row r="41" spans="3:15" x14ac:dyDescent="0.25">
      <c r="C41" s="543">
        <v>0.65038194444444442</v>
      </c>
      <c r="D41" t="s">
        <v>472</v>
      </c>
      <c r="E41" t="s">
        <v>473</v>
      </c>
      <c r="F41">
        <v>230.1</v>
      </c>
      <c r="G41" t="s">
        <v>12</v>
      </c>
      <c r="H41" t="s">
        <v>474</v>
      </c>
      <c r="I41" t="s">
        <v>473</v>
      </c>
      <c r="J41">
        <v>7.0400000000000004E-2</v>
      </c>
      <c r="K41" t="s">
        <v>6</v>
      </c>
      <c r="L41" t="s">
        <v>187</v>
      </c>
      <c r="M41" t="s">
        <v>473</v>
      </c>
      <c r="N41">
        <v>6.54</v>
      </c>
      <c r="O41" t="s">
        <v>475</v>
      </c>
    </row>
    <row r="42" spans="3:15" x14ac:dyDescent="0.25">
      <c r="C42" s="543">
        <v>0.65039351851851857</v>
      </c>
      <c r="D42" t="s">
        <v>472</v>
      </c>
      <c r="E42" t="s">
        <v>473</v>
      </c>
      <c r="F42">
        <v>230</v>
      </c>
      <c r="G42" t="s">
        <v>12</v>
      </c>
      <c r="H42" t="s">
        <v>474</v>
      </c>
      <c r="I42" t="s">
        <v>473</v>
      </c>
      <c r="J42">
        <v>6.9599999999999995E-2</v>
      </c>
      <c r="K42" t="s">
        <v>6</v>
      </c>
      <c r="L42" t="s">
        <v>187</v>
      </c>
      <c r="M42" t="s">
        <v>473</v>
      </c>
      <c r="N42">
        <v>5.8</v>
      </c>
      <c r="O42" t="s">
        <v>475</v>
      </c>
    </row>
    <row r="45" spans="3:15" x14ac:dyDescent="0.25">
      <c r="N45">
        <f>AVERAGE(N33:N42)</f>
        <v>6.0520000000000005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92075-9BA0-4714-B0D4-6BD51F66B2F8}">
  <dimension ref="B1:AN139"/>
  <sheetViews>
    <sheetView topLeftCell="A88" zoomScaleNormal="100" workbookViewId="0">
      <selection activeCell="M124" sqref="M124"/>
    </sheetView>
  </sheetViews>
  <sheetFormatPr defaultColWidth="9.140625" defaultRowHeight="14.25" x14ac:dyDescent="0.3"/>
  <cols>
    <col min="1" max="1" width="9.140625" style="121"/>
    <col min="2" max="2" width="9.140625" style="121" customWidth="1"/>
    <col min="3" max="3" width="9.42578125" style="121" bestFit="1" customWidth="1"/>
    <col min="4" max="4" width="9.28515625" style="121" bestFit="1" customWidth="1"/>
    <col min="5" max="5" width="9.140625" style="176"/>
    <col min="6" max="6" width="9.140625" style="121"/>
    <col min="7" max="7" width="9.140625" style="176"/>
    <col min="8" max="8" width="9.140625" style="121"/>
    <col min="9" max="10" width="8.28515625" style="121" customWidth="1"/>
    <col min="11" max="11" width="8.7109375" style="121" customWidth="1"/>
    <col min="12" max="12" width="8.28515625" style="121" customWidth="1"/>
    <col min="13" max="16384" width="9.140625" style="121"/>
  </cols>
  <sheetData>
    <row r="1" spans="2:40" x14ac:dyDescent="0.3">
      <c r="H1" s="176"/>
    </row>
    <row r="2" spans="2:40" x14ac:dyDescent="0.3">
      <c r="B2" s="451" t="s">
        <v>418</v>
      </c>
      <c r="C2" s="452" t="s">
        <v>419</v>
      </c>
      <c r="D2" s="452"/>
      <c r="E2" s="453"/>
      <c r="H2" s="176"/>
    </row>
    <row r="3" spans="2:40" x14ac:dyDescent="0.3">
      <c r="H3" s="176"/>
      <c r="AE3" s="121" t="s">
        <v>377</v>
      </c>
    </row>
    <row r="4" spans="2:40" ht="16.5" thickBot="1" x14ac:dyDescent="0.35">
      <c r="B4" s="6" t="s">
        <v>219</v>
      </c>
      <c r="D4" s="176"/>
      <c r="E4" s="121"/>
      <c r="F4" s="176"/>
      <c r="H4" s="176"/>
      <c r="I4" s="407" t="s">
        <v>220</v>
      </c>
    </row>
    <row r="5" spans="2:40" x14ac:dyDescent="0.3">
      <c r="D5" s="176"/>
      <c r="E5" s="121"/>
      <c r="F5" s="176"/>
      <c r="H5" s="176"/>
      <c r="I5" s="161" t="s">
        <v>222</v>
      </c>
      <c r="AE5" s="388" t="s">
        <v>292</v>
      </c>
      <c r="AF5" s="389"/>
      <c r="AG5" s="388" t="str">
        <f>B29</f>
        <v>Tulo 8 V</v>
      </c>
      <c r="AH5" s="389"/>
      <c r="AI5" s="388" t="str">
        <f>B44</f>
        <v>Tulo 6 V</v>
      </c>
      <c r="AJ5" s="389"/>
      <c r="AK5" s="388" t="str">
        <f>B57</f>
        <v>Tulo 4 V</v>
      </c>
      <c r="AL5" s="389"/>
      <c r="AM5" s="388" t="str">
        <f>B66</f>
        <v>Tulo 2V</v>
      </c>
      <c r="AN5" s="389"/>
    </row>
    <row r="6" spans="2:40" x14ac:dyDescent="0.3">
      <c r="B6" s="174" t="s">
        <v>0</v>
      </c>
      <c r="D6" s="176"/>
      <c r="E6" s="121"/>
      <c r="F6" s="176"/>
      <c r="H6" s="176"/>
      <c r="I6" s="161" t="s">
        <v>245</v>
      </c>
      <c r="AE6" s="390" t="s">
        <v>301</v>
      </c>
      <c r="AF6" s="391" t="s">
        <v>282</v>
      </c>
      <c r="AG6" s="390" t="s">
        <v>301</v>
      </c>
      <c r="AH6" s="391" t="s">
        <v>282</v>
      </c>
      <c r="AI6" s="390" t="s">
        <v>301</v>
      </c>
      <c r="AJ6" s="391" t="s">
        <v>282</v>
      </c>
      <c r="AK6" s="390" t="s">
        <v>301</v>
      </c>
      <c r="AL6" s="391" t="s">
        <v>282</v>
      </c>
      <c r="AM6" s="390" t="s">
        <v>301</v>
      </c>
      <c r="AN6" s="391" t="s">
        <v>282</v>
      </c>
    </row>
    <row r="7" spans="2:40" x14ac:dyDescent="0.3">
      <c r="D7" s="176"/>
      <c r="F7" s="176" t="s">
        <v>476</v>
      </c>
      <c r="H7" s="176"/>
      <c r="AD7" s="121" t="s">
        <v>186</v>
      </c>
      <c r="AE7" s="392">
        <v>162.5</v>
      </c>
      <c r="AF7" s="393">
        <f>$J$9*AE7^2+$K$9*AE7+$L$9</f>
        <v>5.2656360520359158E-2</v>
      </c>
      <c r="AG7" s="392">
        <v>136.69999999999999</v>
      </c>
      <c r="AH7" s="393">
        <f>$J$10*AG7^2+$K$10*AG7+$L$10</f>
        <v>1.0093894656381508</v>
      </c>
      <c r="AI7" s="392">
        <v>94.5</v>
      </c>
      <c r="AJ7" s="393">
        <f>$J$11*AI7^2+$K$11*AI7+$L$11</f>
        <v>0.22320526021258047</v>
      </c>
      <c r="AK7" s="392">
        <v>56.3</v>
      </c>
      <c r="AL7" s="393">
        <f>$J$12*AK7^2+$K$12*AK7+$L$12</f>
        <v>0.89482256785268532</v>
      </c>
      <c r="AM7" s="392">
        <v>20</v>
      </c>
      <c r="AN7" s="393">
        <f>$J$13*AM7^2+$K$13*AM7+$L$13</f>
        <v>0.75508145696186801</v>
      </c>
    </row>
    <row r="8" spans="2:40" ht="15" thickBot="1" x14ac:dyDescent="0.35">
      <c r="B8" s="174" t="s">
        <v>292</v>
      </c>
      <c r="D8" s="176"/>
      <c r="E8" s="121"/>
      <c r="F8" s="176">
        <f>'SFP ja kokonaisteho'!D4</f>
        <v>6.0520000000000005</v>
      </c>
      <c r="H8" s="176"/>
      <c r="I8" s="178"/>
      <c r="J8" s="179" t="s">
        <v>6</v>
      </c>
      <c r="K8" s="180" t="s">
        <v>7</v>
      </c>
      <c r="L8" s="181" t="s">
        <v>8</v>
      </c>
      <c r="AE8" s="394">
        <f>AVERAGE(AE7,AE9)</f>
        <v>142</v>
      </c>
      <c r="AF8" s="393">
        <f>$J$9*AE8^2+$K$9*AE8+$L$9</f>
        <v>181.41097975513662</v>
      </c>
      <c r="AG8" s="394">
        <f>AVERAGE(AG7,AG9)</f>
        <v>117.64999999999999</v>
      </c>
      <c r="AH8" s="393">
        <f>$J$10*AG8^2+$K$10*AG8+$L$10</f>
        <v>151.98855330579522</v>
      </c>
      <c r="AI8" s="394">
        <f>AVERAGE(AI7,AI9)</f>
        <v>79.75</v>
      </c>
      <c r="AJ8" s="393">
        <f>$J$11*AI8^2+$K$11*AI8+$L$11</f>
        <v>93.871740223736793</v>
      </c>
      <c r="AK8" s="394">
        <f>AVERAGE(AK7,AK9)</f>
        <v>46.224999999999994</v>
      </c>
      <c r="AL8" s="393">
        <f>$J$12*AK8^2+$K$12*AK8+$L$12</f>
        <v>42.384310771395178</v>
      </c>
      <c r="AM8" s="394">
        <f>AVERAGE(AM7,AM9)</f>
        <v>16.25</v>
      </c>
      <c r="AN8" s="393">
        <f>$J$13*AM8^2+$K$13*AM8+$L$13</f>
        <v>7.9860106577493575</v>
      </c>
    </row>
    <row r="9" spans="2:40" ht="15" thickBot="1" x14ac:dyDescent="0.35">
      <c r="B9" s="379" t="s">
        <v>215</v>
      </c>
      <c r="C9" s="380" t="s">
        <v>216</v>
      </c>
      <c r="D9" s="381" t="s">
        <v>217</v>
      </c>
      <c r="E9" s="403" t="s">
        <v>1</v>
      </c>
      <c r="F9" s="406" t="s">
        <v>383</v>
      </c>
      <c r="H9" s="176"/>
      <c r="I9" s="177" t="s">
        <v>173</v>
      </c>
      <c r="J9" s="503">
        <f t="array" ref="J9:L9">LINEST(C10:C24,B10:B24^{1,2})</f>
        <v>-2.0224346199179833E-2</v>
      </c>
      <c r="K9" s="503">
        <v>-2.6884340650139547</v>
      </c>
      <c r="L9" s="503">
        <v>970.97233374738039</v>
      </c>
      <c r="AE9" s="394">
        <f>AVERAGE(AE7,AE11)</f>
        <v>121.5</v>
      </c>
      <c r="AF9" s="393">
        <f>$J$9*AE9^2+$K$9*AE9+$L$9</f>
        <v>345.77074016934239</v>
      </c>
      <c r="AG9" s="394">
        <f>AVERAGE(AG7,AG11)</f>
        <v>98.6</v>
      </c>
      <c r="AH9" s="393">
        <f>$J$10*AG9^2+$K$10*AG9+$L$10</f>
        <v>280.26161426664316</v>
      </c>
      <c r="AI9" s="394">
        <f>AVERAGE(AI7,AI11)</f>
        <v>65</v>
      </c>
      <c r="AJ9" s="393">
        <f>$J$11*AI9^2+$K$11*AI9+$L$11</f>
        <v>170.8382220962381</v>
      </c>
      <c r="AK9" s="394">
        <f>AVERAGE(AK7,AK11)</f>
        <v>36.15</v>
      </c>
      <c r="AL9" s="393">
        <f>$J$12*AK9^2+$K$12*AK9+$L$12</f>
        <v>76.531928506020407</v>
      </c>
      <c r="AM9" s="394">
        <f>AVERAGE(AM7,AM11)</f>
        <v>12.5</v>
      </c>
      <c r="AN9" s="393">
        <f>$J$13*AM9^2+$K$13*AM9+$L$13</f>
        <v>14.570850534481167</v>
      </c>
    </row>
    <row r="10" spans="2:40" x14ac:dyDescent="0.3">
      <c r="B10" s="425">
        <v>161.2532236694079</v>
      </c>
      <c r="C10" s="425">
        <v>12.589534520464724</v>
      </c>
      <c r="D10" s="375">
        <v>180.06728870295996</v>
      </c>
      <c r="E10" s="404">
        <f t="shared" ref="E10" si="0">D10/B10</f>
        <v>1.1166740397830655</v>
      </c>
      <c r="F10" s="405">
        <f t="shared" ref="F10" si="1">D10-$F$8</f>
        <v>174.01528870295996</v>
      </c>
      <c r="H10" s="176"/>
      <c r="I10" s="175" t="s">
        <v>221</v>
      </c>
      <c r="J10" s="503">
        <f t="array" ref="J10:L10">LINEST(C31:C42,B31:B42^{1,2})</f>
        <v>-3.1284026535101178E-2</v>
      </c>
      <c r="K10" s="503">
        <v>3.167672452282061E-2</v>
      </c>
      <c r="L10" s="503">
        <v>581.28034384188527</v>
      </c>
      <c r="AE10" s="394">
        <f>AVERAGE(AE9,AE11)</f>
        <v>101</v>
      </c>
      <c r="AF10" s="393">
        <f>$J$9*AE10^2+$K$9*AE10+$L$9</f>
        <v>493.13193760313749</v>
      </c>
      <c r="AG10" s="394">
        <f>AVERAGE(AG9,AG11)</f>
        <v>79.55</v>
      </c>
      <c r="AH10" s="393">
        <f>$J$10*AG10^2+$K$10*AG10+$L$10</f>
        <v>385.82857234818209</v>
      </c>
      <c r="AI10" s="394">
        <f>AVERAGE(AI9,AI11)</f>
        <v>50.25</v>
      </c>
      <c r="AJ10" s="393">
        <f>$J$11*AI10^2+$K$11*AI10+$L$11</f>
        <v>231.12265087771641</v>
      </c>
      <c r="AK10" s="394">
        <f>AVERAGE(AK9,AK11)</f>
        <v>26.074999999999999</v>
      </c>
      <c r="AL10" s="393">
        <f>$J$12*AK10^2+$K$12*AK10+$L$12</f>
        <v>103.33767577172839</v>
      </c>
      <c r="AM10" s="394">
        <f>AVERAGE(AM9,AM11)</f>
        <v>8.75</v>
      </c>
      <c r="AN10" s="393">
        <f>$J$13*AM10^2+$K$13*AM10+$L$13</f>
        <v>20.509601087157293</v>
      </c>
    </row>
    <row r="11" spans="2:40" ht="15" thickBot="1" x14ac:dyDescent="0.35">
      <c r="B11" s="218">
        <v>151.47698334539831</v>
      </c>
      <c r="C11" s="218">
        <v>99.159868274249121</v>
      </c>
      <c r="D11" s="375">
        <v>178.74126436245373</v>
      </c>
      <c r="E11" s="404">
        <f>D11/B11</f>
        <v>1.179989595877331</v>
      </c>
      <c r="F11" s="405">
        <f t="shared" ref="F11:F24" si="2">D11-$F$8</f>
        <v>172.68926436245374</v>
      </c>
      <c r="H11" s="176"/>
      <c r="I11" s="175" t="s">
        <v>172</v>
      </c>
      <c r="J11" s="503">
        <f t="array" ref="J11:L11">LINEST(C46:C53,B46:B53^{1,2})</f>
        <v>-3.8338530516570955E-2</v>
      </c>
      <c r="K11" s="503">
        <v>0.33143572464644039</v>
      </c>
      <c r="L11" s="503">
        <v>311.27519142673174</v>
      </c>
      <c r="AD11" s="121" t="s">
        <v>378</v>
      </c>
      <c r="AE11" s="395">
        <v>80.5</v>
      </c>
      <c r="AF11" s="396">
        <f>$J$9*AE11^2+$K$9*AE11+$L$9</f>
        <v>623.49457205652197</v>
      </c>
      <c r="AG11" s="395">
        <v>60.5</v>
      </c>
      <c r="AH11" s="396">
        <f>$J$10*AG11^2+$K$10*AG11+$L$10</f>
        <v>468.68942755041184</v>
      </c>
      <c r="AI11" s="395">
        <v>35.5</v>
      </c>
      <c r="AJ11" s="396">
        <f>$J$11*AI11^2+$K$11*AI11+$L$11</f>
        <v>274.72502656817181</v>
      </c>
      <c r="AK11" s="395">
        <v>16</v>
      </c>
      <c r="AL11" s="396">
        <f>$J$12*AK11^2+$K$12*AK11+$L$12</f>
        <v>122.80155256851907</v>
      </c>
      <c r="AM11" s="395">
        <v>5</v>
      </c>
      <c r="AN11" s="396">
        <f>$J$13*AM11^2+$K$13*AM11+$L$13</f>
        <v>25.802262315777739</v>
      </c>
    </row>
    <row r="12" spans="2:40" x14ac:dyDescent="0.3">
      <c r="B12" s="218">
        <v>155.44368485760836</v>
      </c>
      <c r="C12" s="218">
        <v>67.716329534955548</v>
      </c>
      <c r="D12" s="375">
        <v>179.00194912354252</v>
      </c>
      <c r="E12" s="404">
        <f t="shared" ref="E12:E24" si="3">D12/B12</f>
        <v>1.1515549781743422</v>
      </c>
      <c r="F12" s="405">
        <f t="shared" si="2"/>
        <v>172.94994912354252</v>
      </c>
      <c r="H12" s="176"/>
      <c r="I12" s="175" t="s">
        <v>171</v>
      </c>
      <c r="J12" s="503">
        <f t="array" ref="J12:L12">LINEST(C59:C63,B59:B63^{1,2})</f>
        <v>-3.6164845391165608E-2</v>
      </c>
      <c r="K12" s="503">
        <v>-0.41026257153551116</v>
      </c>
      <c r="L12" s="503">
        <v>138.62395413322565</v>
      </c>
    </row>
    <row r="13" spans="2:40" x14ac:dyDescent="0.3">
      <c r="B13" s="218">
        <v>146.41054912523151</v>
      </c>
      <c r="C13" s="218">
        <v>140.80974399640741</v>
      </c>
      <c r="D13" s="375">
        <v>178.59301002023861</v>
      </c>
      <c r="E13" s="404">
        <f t="shared" si="3"/>
        <v>1.21980971376236</v>
      </c>
      <c r="F13" s="405">
        <f t="shared" si="2"/>
        <v>172.54101002023862</v>
      </c>
      <c r="H13" s="176"/>
      <c r="I13" s="175" t="s">
        <v>170</v>
      </c>
      <c r="J13" s="503">
        <f t="array" ref="J13:L13">LINEST(C68:C70,B68:B70^{1,2})</f>
        <v>-2.2972064855313144E-2</v>
      </c>
      <c r="K13" s="503">
        <v>-1.095510435871563</v>
      </c>
      <c r="L13" s="503">
        <v>31.854116116518384</v>
      </c>
    </row>
    <row r="14" spans="2:40" x14ac:dyDescent="0.3">
      <c r="B14" s="218">
        <v>139.02972788116574</v>
      </c>
      <c r="C14" s="218">
        <v>207.89134665849471</v>
      </c>
      <c r="D14" s="375">
        <v>179.01072644638634</v>
      </c>
      <c r="E14" s="404">
        <f t="shared" si="3"/>
        <v>1.2875715803701635</v>
      </c>
      <c r="F14" s="405">
        <f t="shared" si="2"/>
        <v>172.95872644638635</v>
      </c>
      <c r="H14" s="176"/>
      <c r="I14" s="175"/>
      <c r="J14" s="183"/>
      <c r="K14" s="183"/>
      <c r="L14" s="190"/>
      <c r="AE14" s="121" t="s">
        <v>300</v>
      </c>
      <c r="AG14" s="176"/>
    </row>
    <row r="15" spans="2:40" x14ac:dyDescent="0.3">
      <c r="B15" s="218">
        <v>134.22877143064406</v>
      </c>
      <c r="C15" s="218">
        <v>253.65100784405911</v>
      </c>
      <c r="D15" s="375">
        <v>179.00459325810175</v>
      </c>
      <c r="E15" s="404">
        <f t="shared" si="3"/>
        <v>1.3335784224963523</v>
      </c>
      <c r="F15" s="405">
        <f t="shared" si="2"/>
        <v>172.95259325810176</v>
      </c>
      <c r="H15" s="176"/>
      <c r="I15" s="175"/>
      <c r="J15" s="183"/>
      <c r="K15" s="183"/>
      <c r="L15" s="190"/>
      <c r="AE15" s="121" t="s">
        <v>173</v>
      </c>
      <c r="AF15" s="160">
        <f>AE11</f>
        <v>80.5</v>
      </c>
      <c r="AG15" s="160">
        <f>AF11</f>
        <v>623.49457205652197</v>
      </c>
    </row>
    <row r="16" spans="2:40" x14ac:dyDescent="0.3">
      <c r="B16" s="218">
        <v>127.92848522109036</v>
      </c>
      <c r="C16" s="218">
        <v>299.92703884858435</v>
      </c>
      <c r="D16" s="375">
        <v>178.56000665730986</v>
      </c>
      <c r="E16" s="404">
        <f t="shared" si="3"/>
        <v>1.3957798870886058</v>
      </c>
      <c r="F16" s="405">
        <f t="shared" si="2"/>
        <v>172.50800665730986</v>
      </c>
      <c r="H16" s="176"/>
      <c r="AE16" s="121" t="s">
        <v>221</v>
      </c>
      <c r="AF16" s="160">
        <f>AG11</f>
        <v>60.5</v>
      </c>
      <c r="AG16" s="160">
        <f>AH11</f>
        <v>468.68942755041184</v>
      </c>
    </row>
    <row r="17" spans="2:33" x14ac:dyDescent="0.3">
      <c r="B17" s="218">
        <v>117.46584491112053</v>
      </c>
      <c r="C17" s="218">
        <v>360.26176392699188</v>
      </c>
      <c r="D17" s="375">
        <v>178.6291061571952</v>
      </c>
      <c r="E17" s="404">
        <f t="shared" si="3"/>
        <v>1.5206897485167139</v>
      </c>
      <c r="F17" s="405">
        <f t="shared" si="2"/>
        <v>172.5771061571952</v>
      </c>
      <c r="H17" s="176"/>
      <c r="AE17" s="121" t="s">
        <v>172</v>
      </c>
      <c r="AF17" s="160">
        <f>AI11</f>
        <v>35.5</v>
      </c>
      <c r="AG17" s="160">
        <f>AJ11</f>
        <v>274.72502656817181</v>
      </c>
    </row>
    <row r="18" spans="2:33" ht="15.75" x14ac:dyDescent="0.3">
      <c r="B18" s="218">
        <v>112.06828070689804</v>
      </c>
      <c r="C18" s="218">
        <v>405.86837446374608</v>
      </c>
      <c r="D18" s="375">
        <v>178.71643001115902</v>
      </c>
      <c r="E18" s="404">
        <f t="shared" si="3"/>
        <v>1.5947101970679081</v>
      </c>
      <c r="F18" s="405">
        <f t="shared" si="2"/>
        <v>172.66443001115903</v>
      </c>
      <c r="H18" s="176"/>
      <c r="I18" s="407" t="s">
        <v>265</v>
      </c>
      <c r="AE18" s="121" t="s">
        <v>171</v>
      </c>
      <c r="AF18" s="160">
        <f>AK11</f>
        <v>16</v>
      </c>
      <c r="AG18" s="160">
        <f>AL11+2</f>
        <v>124.80155256851907</v>
      </c>
    </row>
    <row r="19" spans="2:33" ht="15.75" x14ac:dyDescent="0.3">
      <c r="B19" s="218">
        <v>106.01400840111911</v>
      </c>
      <c r="C19" s="218">
        <v>454.5735273857473</v>
      </c>
      <c r="D19" s="375">
        <v>178.79843799606942</v>
      </c>
      <c r="E19" s="404">
        <f t="shared" si="3"/>
        <v>1.6865548307499141</v>
      </c>
      <c r="F19" s="405">
        <f t="shared" si="2"/>
        <v>172.74643799606943</v>
      </c>
      <c r="H19" s="176"/>
      <c r="I19" s="407"/>
      <c r="AE19" s="121" t="s">
        <v>170</v>
      </c>
      <c r="AF19" s="160">
        <f>AM11+2</f>
        <v>7</v>
      </c>
      <c r="AG19" s="160">
        <f>AN11-2</f>
        <v>23.802262315777739</v>
      </c>
    </row>
    <row r="20" spans="2:33" ht="15.75" x14ac:dyDescent="0.3">
      <c r="B20" s="218">
        <v>99.55813321294815</v>
      </c>
      <c r="C20" s="218">
        <v>504.35556757523682</v>
      </c>
      <c r="D20" s="375">
        <v>178.390486020601</v>
      </c>
      <c r="E20" s="404">
        <f t="shared" si="3"/>
        <v>1.791822327956228</v>
      </c>
      <c r="F20" s="405">
        <f t="shared" si="2"/>
        <v>172.33848602060101</v>
      </c>
      <c r="H20" s="176"/>
      <c r="I20" s="407"/>
      <c r="AF20" s="160"/>
      <c r="AG20" s="160"/>
    </row>
    <row r="21" spans="2:33" ht="15.75" x14ac:dyDescent="0.3">
      <c r="B21" s="218">
        <v>90.535814522443474</v>
      </c>
      <c r="C21" s="218">
        <v>562.92278160043543</v>
      </c>
      <c r="D21" s="375">
        <v>180.43106604869718</v>
      </c>
      <c r="E21" s="404">
        <f t="shared" si="3"/>
        <v>1.9929247558044449</v>
      </c>
      <c r="F21" s="405">
        <f t="shared" si="2"/>
        <v>174.37906604869718</v>
      </c>
      <c r="H21" s="176"/>
      <c r="I21" s="407"/>
      <c r="AF21" s="160"/>
      <c r="AG21" s="160"/>
    </row>
    <row r="22" spans="2:33" ht="15.75" x14ac:dyDescent="0.3">
      <c r="B22" s="218">
        <v>81.067285536572712</v>
      </c>
      <c r="C22" s="218">
        <v>625.82556842687518</v>
      </c>
      <c r="D22" s="375">
        <v>180.72994633609613</v>
      </c>
      <c r="E22" s="404">
        <f t="shared" si="3"/>
        <v>2.2293819897862694</v>
      </c>
      <c r="F22" s="405">
        <f t="shared" si="2"/>
        <v>174.67794633609614</v>
      </c>
      <c r="H22" s="176"/>
      <c r="I22" s="407"/>
      <c r="AF22" s="160"/>
      <c r="AG22" s="160"/>
    </row>
    <row r="23" spans="2:33" x14ac:dyDescent="0.3">
      <c r="B23" s="218">
        <v>68.043691847100675</v>
      </c>
      <c r="C23" s="218">
        <v>709.05783312479764</v>
      </c>
      <c r="D23" s="375">
        <v>179.76185910305585</v>
      </c>
      <c r="E23" s="404">
        <f t="shared" si="3"/>
        <v>2.6418592851633385</v>
      </c>
      <c r="F23" s="405">
        <f t="shared" si="2"/>
        <v>173.70985910305586</v>
      </c>
      <c r="H23" s="176"/>
      <c r="I23" s="184" t="s">
        <v>224</v>
      </c>
    </row>
    <row r="24" spans="2:33" x14ac:dyDescent="0.3">
      <c r="B24" s="218">
        <v>34.855134891560184</v>
      </c>
      <c r="C24" s="218">
        <v>845.24574446149143</v>
      </c>
      <c r="D24" s="375">
        <v>165.98181719625114</v>
      </c>
      <c r="E24" s="404">
        <f t="shared" si="3"/>
        <v>4.7620477646305694</v>
      </c>
      <c r="F24" s="405">
        <f t="shared" si="2"/>
        <v>159.92981719625115</v>
      </c>
      <c r="H24" s="176"/>
      <c r="I24" s="11">
        <f>Tulostus!J36</f>
        <v>84</v>
      </c>
      <c r="J24" s="174" t="s">
        <v>223</v>
      </c>
    </row>
    <row r="25" spans="2:33" x14ac:dyDescent="0.3">
      <c r="B25" s="218"/>
      <c r="C25" s="218"/>
      <c r="D25" s="375"/>
      <c r="E25" s="404"/>
      <c r="F25" s="405"/>
      <c r="H25" s="176"/>
      <c r="I25" s="11">
        <f>Tulostus!J37</f>
        <v>50</v>
      </c>
      <c r="J25" s="174" t="s">
        <v>11</v>
      </c>
    </row>
    <row r="26" spans="2:33" ht="15" thickBot="1" x14ac:dyDescent="0.35">
      <c r="B26" s="429"/>
      <c r="C26" s="429"/>
      <c r="D26" s="376"/>
      <c r="E26" s="404"/>
      <c r="F26" s="405"/>
      <c r="H26" s="176"/>
    </row>
    <row r="27" spans="2:33" x14ac:dyDescent="0.3">
      <c r="B27" s="408"/>
      <c r="D27" s="176"/>
      <c r="F27" s="176"/>
      <c r="H27" s="176"/>
      <c r="I27" s="184" t="s">
        <v>225</v>
      </c>
    </row>
    <row r="28" spans="2:33" x14ac:dyDescent="0.3">
      <c r="D28" s="176"/>
      <c r="E28" s="121"/>
      <c r="F28" s="176"/>
      <c r="H28" s="176"/>
      <c r="I28" s="161" t="s">
        <v>222</v>
      </c>
    </row>
    <row r="29" spans="2:33" ht="15" thickBot="1" x14ac:dyDescent="0.35">
      <c r="B29" s="174" t="s">
        <v>293</v>
      </c>
      <c r="D29" s="176"/>
      <c r="F29" s="176"/>
      <c r="H29" s="176"/>
      <c r="I29" s="161" t="s">
        <v>244</v>
      </c>
    </row>
    <row r="30" spans="2:33" ht="15" thickBot="1" x14ac:dyDescent="0.35">
      <c r="B30" s="379" t="s">
        <v>215</v>
      </c>
      <c r="C30" s="380" t="s">
        <v>216</v>
      </c>
      <c r="D30" s="381" t="s">
        <v>217</v>
      </c>
      <c r="E30" s="382" t="s">
        <v>1</v>
      </c>
      <c r="F30" s="406" t="s">
        <v>383</v>
      </c>
      <c r="H30" s="176"/>
      <c r="I30" s="188" t="s">
        <v>229</v>
      </c>
      <c r="J30" s="186">
        <f>I25/I24^2</f>
        <v>7.0861678004535151E-3</v>
      </c>
    </row>
    <row r="31" spans="2:33" x14ac:dyDescent="0.3">
      <c r="B31" s="217">
        <v>135.56075750610708</v>
      </c>
      <c r="C31" s="218">
        <v>7.2985681448644435</v>
      </c>
      <c r="D31" s="375">
        <v>119.4084932089752</v>
      </c>
      <c r="E31" s="377">
        <f>D31/B31</f>
        <v>0.88084852434965033</v>
      </c>
      <c r="F31" s="405">
        <f t="shared" ref="F31:F40" si="4">D31-$F$8</f>
        <v>113.35649320897519</v>
      </c>
      <c r="H31" s="176"/>
      <c r="I31" s="121" t="s">
        <v>379</v>
      </c>
    </row>
    <row r="32" spans="2:33" x14ac:dyDescent="0.3">
      <c r="B32" s="222">
        <v>130.63631387858101</v>
      </c>
      <c r="C32" s="218">
        <v>53.107094687432777</v>
      </c>
      <c r="D32" s="375">
        <v>120.37565137009985</v>
      </c>
      <c r="E32" s="377">
        <f t="shared" ref="E32:E40" si="5">D32/B32</f>
        <v>0.9214562765601465</v>
      </c>
      <c r="F32" s="405">
        <f t="shared" si="4"/>
        <v>114.32365137009984</v>
      </c>
      <c r="H32" s="176"/>
      <c r="I32" s="161" t="s">
        <v>380</v>
      </c>
    </row>
    <row r="33" spans="2:16" x14ac:dyDescent="0.3">
      <c r="B33" s="222">
        <v>124.62732533886042</v>
      </c>
      <c r="C33" s="218">
        <v>101.59284167509514</v>
      </c>
      <c r="D33" s="375">
        <v>121.83361815643757</v>
      </c>
      <c r="E33" s="377">
        <f t="shared" si="5"/>
        <v>0.97758351007833322</v>
      </c>
      <c r="F33" s="405">
        <f t="shared" si="4"/>
        <v>115.78161815643756</v>
      </c>
      <c r="H33" s="176"/>
      <c r="I33" s="188" t="s">
        <v>381</v>
      </c>
      <c r="J33" s="397">
        <f>I25/I24</f>
        <v>0.59523809523809523</v>
      </c>
    </row>
    <row r="34" spans="2:16" x14ac:dyDescent="0.3">
      <c r="B34" s="222">
        <v>117.18918981914862</v>
      </c>
      <c r="C34" s="218">
        <v>159.37364036595989</v>
      </c>
      <c r="D34" s="375">
        <v>121.82193669922745</v>
      </c>
      <c r="E34" s="377">
        <f t="shared" si="5"/>
        <v>1.0395322033305996</v>
      </c>
      <c r="F34" s="405">
        <f t="shared" si="4"/>
        <v>115.76993669922744</v>
      </c>
      <c r="H34" s="176"/>
      <c r="I34" s="430"/>
      <c r="J34" s="430"/>
    </row>
    <row r="35" spans="2:16" x14ac:dyDescent="0.3">
      <c r="B35" s="222">
        <v>111.04521999632041</v>
      </c>
      <c r="C35" s="218">
        <v>202.99882998569197</v>
      </c>
      <c r="D35" s="375">
        <v>122.09150771216055</v>
      </c>
      <c r="E35" s="377">
        <f t="shared" si="5"/>
        <v>1.0994755804545766</v>
      </c>
      <c r="F35" s="405">
        <f t="shared" si="4"/>
        <v>116.03950771216054</v>
      </c>
      <c r="H35" s="176"/>
      <c r="I35" s="430"/>
      <c r="J35" s="430"/>
    </row>
    <row r="36" spans="2:16" x14ac:dyDescent="0.3">
      <c r="B36" s="222">
        <v>100.97425844335935</v>
      </c>
      <c r="C36" s="218">
        <v>257.07550327220724</v>
      </c>
      <c r="D36" s="375">
        <v>121.6315989274155</v>
      </c>
      <c r="E36" s="377">
        <f t="shared" si="5"/>
        <v>1.2045802643417649</v>
      </c>
      <c r="F36" s="405">
        <f t="shared" si="4"/>
        <v>115.57959892741549</v>
      </c>
      <c r="H36" s="176"/>
    </row>
    <row r="37" spans="2:16" ht="15.75" x14ac:dyDescent="0.3">
      <c r="B37" s="222">
        <v>93.772165084031528</v>
      </c>
      <c r="C37" s="218">
        <v>303.9910980658093</v>
      </c>
      <c r="D37" s="375">
        <v>120.40988135249536</v>
      </c>
      <c r="E37" s="377">
        <f t="shared" si="5"/>
        <v>1.2840684785788312</v>
      </c>
      <c r="F37" s="405">
        <f t="shared" si="4"/>
        <v>114.35788135249535</v>
      </c>
      <c r="H37" s="176"/>
      <c r="I37" s="407" t="s">
        <v>266</v>
      </c>
    </row>
    <row r="38" spans="2:16" x14ac:dyDescent="0.3">
      <c r="B38" s="222">
        <v>85.758245265667185</v>
      </c>
      <c r="C38" s="218">
        <v>353.7429333182489</v>
      </c>
      <c r="D38" s="375">
        <v>118.69251856311287</v>
      </c>
      <c r="E38" s="377">
        <f t="shared" si="5"/>
        <v>1.3840362310984775</v>
      </c>
      <c r="F38" s="405">
        <f t="shared" si="4"/>
        <v>112.64051856311286</v>
      </c>
      <c r="H38" s="176"/>
      <c r="I38" s="121" t="s">
        <v>230</v>
      </c>
    </row>
    <row r="39" spans="2:16" x14ac:dyDescent="0.3">
      <c r="B39" s="222">
        <v>76.053116296246799</v>
      </c>
      <c r="C39" s="218">
        <v>404.94191987134639</v>
      </c>
      <c r="D39" s="375">
        <v>116.2521332871973</v>
      </c>
      <c r="E39" s="377">
        <f t="shared" si="5"/>
        <v>1.5285650207200556</v>
      </c>
      <c r="F39" s="405">
        <f t="shared" si="4"/>
        <v>110.20013328719729</v>
      </c>
      <c r="H39" s="176"/>
    </row>
    <row r="40" spans="2:16" x14ac:dyDescent="0.3">
      <c r="B40" s="222">
        <v>64.629970196748786</v>
      </c>
      <c r="C40" s="218">
        <v>455.11407183442213</v>
      </c>
      <c r="D40" s="375">
        <v>112.93013735999442</v>
      </c>
      <c r="E40" s="377">
        <f t="shared" si="5"/>
        <v>1.747333891942215</v>
      </c>
      <c r="F40" s="405">
        <f t="shared" si="4"/>
        <v>106.87813735999441</v>
      </c>
      <c r="I40" s="121" t="s">
        <v>226</v>
      </c>
    </row>
    <row r="41" spans="2:16" x14ac:dyDescent="0.3">
      <c r="B41" s="222">
        <v>50.728913224199957</v>
      </c>
      <c r="C41" s="218">
        <v>505.34744878194465</v>
      </c>
      <c r="D41" s="375">
        <v>107.18569469110219</v>
      </c>
      <c r="E41" s="377">
        <f t="shared" ref="E41:E42" si="6">D41/B41</f>
        <v>2.1129113138573965</v>
      </c>
      <c r="F41" s="405">
        <f t="shared" ref="F41:F42" si="7">D41-$F$8</f>
        <v>101.13369469110218</v>
      </c>
      <c r="H41" s="176"/>
    </row>
    <row r="42" spans="2:16" ht="15" thickBot="1" x14ac:dyDescent="0.35">
      <c r="B42" s="224">
        <v>28.961054870181222</v>
      </c>
      <c r="C42" s="225">
        <v>553.66911539909665</v>
      </c>
      <c r="D42" s="376">
        <v>96.961369958932437</v>
      </c>
      <c r="E42" s="377">
        <f t="shared" si="6"/>
        <v>3.3479916527061815</v>
      </c>
      <c r="F42" s="405">
        <f t="shared" si="7"/>
        <v>90.90936995893243</v>
      </c>
      <c r="H42" s="176"/>
    </row>
    <row r="43" spans="2:16" x14ac:dyDescent="0.3">
      <c r="D43" s="383"/>
      <c r="F43" s="176"/>
      <c r="H43" s="176"/>
      <c r="M43" s="174" t="s">
        <v>234</v>
      </c>
      <c r="O43" s="174" t="s">
        <v>184</v>
      </c>
      <c r="P43" s="121" t="s">
        <v>235</v>
      </c>
    </row>
    <row r="44" spans="2:16" ht="15" thickBot="1" x14ac:dyDescent="0.35">
      <c r="B44" s="174" t="s">
        <v>294</v>
      </c>
      <c r="D44" s="383"/>
      <c r="F44" s="176"/>
      <c r="H44" s="176"/>
      <c r="I44" s="175" t="s">
        <v>237</v>
      </c>
      <c r="J44" s="175" t="s">
        <v>231</v>
      </c>
      <c r="K44" s="175" t="s">
        <v>232</v>
      </c>
      <c r="L44" s="175" t="s">
        <v>233</v>
      </c>
      <c r="M44" s="175" t="s">
        <v>227</v>
      </c>
      <c r="N44" s="175" t="s">
        <v>228</v>
      </c>
      <c r="O44" s="175" t="s">
        <v>228</v>
      </c>
      <c r="P44" s="175" t="s">
        <v>236</v>
      </c>
    </row>
    <row r="45" spans="2:16" ht="15" thickBot="1" x14ac:dyDescent="0.35">
      <c r="B45" s="379" t="s">
        <v>215</v>
      </c>
      <c r="C45" s="380" t="s">
        <v>216</v>
      </c>
      <c r="D45" s="381" t="s">
        <v>217</v>
      </c>
      <c r="E45" s="382" t="s">
        <v>1</v>
      </c>
      <c r="F45" s="406" t="s">
        <v>383</v>
      </c>
      <c r="H45" s="176"/>
      <c r="I45" s="175">
        <v>10</v>
      </c>
      <c r="J45" s="183">
        <f>J9-$J$30</f>
        <v>-2.731051399963335E-2</v>
      </c>
      <c r="K45" s="183">
        <f>K9</f>
        <v>-2.6884340650139547</v>
      </c>
      <c r="L45" s="183">
        <f>L9</f>
        <v>970.97233374738039</v>
      </c>
      <c r="M45" s="190">
        <f>(-K45+SQRT(K45^2-4*J45*L45))/(2*J45)</f>
        <v>-244.09317022640224</v>
      </c>
      <c r="N45" s="190">
        <f>(-K45-SQRT(K45^2-4*J45*L45))/(2*J45)</f>
        <v>145.65364378431303</v>
      </c>
      <c r="O45" s="193">
        <f>IF(M45&lt;0,N45,M45)</f>
        <v>145.65364378431303</v>
      </c>
      <c r="P45" s="194">
        <f>$J$30*O45^2</f>
        <v>150.33293613695827</v>
      </c>
    </row>
    <row r="46" spans="2:16" x14ac:dyDescent="0.3">
      <c r="B46" s="217">
        <v>93.591612514317717</v>
      </c>
      <c r="C46" s="218">
        <v>6.4708807726482505</v>
      </c>
      <c r="D46" s="375">
        <v>58.4806773762839</v>
      </c>
      <c r="E46" s="377">
        <f>D46/B46</f>
        <v>0.62484955441212731</v>
      </c>
      <c r="F46" s="405">
        <f>D46-$F$8</f>
        <v>52.4286773762839</v>
      </c>
      <c r="H46" s="176"/>
      <c r="I46" s="175">
        <v>8</v>
      </c>
      <c r="J46" s="183">
        <f>J10-$J$30</f>
        <v>-3.8370194335554692E-2</v>
      </c>
      <c r="K46" s="183">
        <f t="shared" ref="K46:L46" si="8">K10</f>
        <v>3.167672452282061E-2</v>
      </c>
      <c r="L46" s="183">
        <f t="shared" si="8"/>
        <v>581.28034384188527</v>
      </c>
      <c r="M46" s="190">
        <f t="shared" ref="M46:M48" si="9">(-K46+SQRT(K46^2-4*J46*L46))/(2*J46)</f>
        <v>-122.67027566811103</v>
      </c>
      <c r="N46" s="190">
        <f t="shared" ref="N46:N48" si="10">(-K46-SQRT(K46^2-4*J46*L46))/(2*J46)</f>
        <v>123.49583115646229</v>
      </c>
      <c r="O46" s="193">
        <f t="shared" ref="O46:O48" si="11">IF(M46&lt;0,N46,M46)</f>
        <v>123.49583115646229</v>
      </c>
      <c r="P46" s="194">
        <f>$J$30*O46^2</f>
        <v>108.07270629978346</v>
      </c>
    </row>
    <row r="47" spans="2:16" x14ac:dyDescent="0.3">
      <c r="B47" s="222">
        <v>87.949327734133817</v>
      </c>
      <c r="C47" s="218">
        <v>43.93070551801982</v>
      </c>
      <c r="D47" s="375">
        <v>58.139214056919521</v>
      </c>
      <c r="E47" s="377">
        <f t="shared" ref="E47:E53" si="12">D47/B47</f>
        <v>0.66105353565261238</v>
      </c>
      <c r="F47" s="405">
        <f>D47-$F$8</f>
        <v>52.087214056919521</v>
      </c>
      <c r="H47" s="176"/>
      <c r="I47" s="175">
        <v>6</v>
      </c>
      <c r="J47" s="183">
        <f>J11-$J$30</f>
        <v>-4.5424698317024469E-2</v>
      </c>
      <c r="K47" s="183">
        <f t="shared" ref="K47:L49" si="13">K11</f>
        <v>0.33143572464644039</v>
      </c>
      <c r="L47" s="183">
        <f t="shared" si="13"/>
        <v>311.27519142673174</v>
      </c>
      <c r="M47" s="190">
        <f t="shared" si="9"/>
        <v>-79.212315542799629</v>
      </c>
      <c r="N47" s="190">
        <f t="shared" si="10"/>
        <v>86.508692556320128</v>
      </c>
      <c r="O47" s="193">
        <f t="shared" si="11"/>
        <v>86.508692556320128</v>
      </c>
      <c r="P47" s="194">
        <f>$J$30*O47^2</f>
        <v>53.031135826274927</v>
      </c>
    </row>
    <row r="48" spans="2:16" x14ac:dyDescent="0.3">
      <c r="B48" s="222">
        <v>81.244469214257805</v>
      </c>
      <c r="C48" s="218">
        <v>85.066537725925457</v>
      </c>
      <c r="D48" s="375">
        <v>59.531750303512659</v>
      </c>
      <c r="E48" s="377">
        <f t="shared" si="12"/>
        <v>0.73274834433979263</v>
      </c>
      <c r="F48" s="405">
        <f>D48-$F$8</f>
        <v>53.47975030351266</v>
      </c>
      <c r="H48" s="176"/>
      <c r="I48" s="175">
        <v>4</v>
      </c>
      <c r="J48" s="183">
        <f>J12-$J$30</f>
        <v>-4.3251013191619121E-2</v>
      </c>
      <c r="K48" s="183">
        <f t="shared" si="13"/>
        <v>-0.41026257153551116</v>
      </c>
      <c r="L48" s="183">
        <f t="shared" si="13"/>
        <v>138.62395413322565</v>
      </c>
      <c r="M48" s="190">
        <f t="shared" si="9"/>
        <v>-61.554755439429066</v>
      </c>
      <c r="N48" s="190">
        <f t="shared" si="10"/>
        <v>52.069137848972048</v>
      </c>
      <c r="O48" s="193">
        <f t="shared" si="11"/>
        <v>52.069137848972048</v>
      </c>
      <c r="P48" s="194">
        <f>$J$30*O48^2</f>
        <v>19.211983534121693</v>
      </c>
    </row>
    <row r="49" spans="2:16" x14ac:dyDescent="0.3">
      <c r="B49" s="222">
        <v>74.446297409557502</v>
      </c>
      <c r="C49" s="218">
        <v>123.21640741464911</v>
      </c>
      <c r="D49" s="375">
        <v>58.914003425220656</v>
      </c>
      <c r="E49" s="377">
        <f t="shared" si="12"/>
        <v>0.79136243809564133</v>
      </c>
      <c r="F49" s="405">
        <f>D49-$F$8</f>
        <v>52.862003425220657</v>
      </c>
      <c r="I49" s="175">
        <v>2</v>
      </c>
      <c r="J49" s="183">
        <f>J13-$J$30</f>
        <v>-3.005823265576666E-2</v>
      </c>
      <c r="K49" s="183">
        <f t="shared" si="13"/>
        <v>-1.095510435871563</v>
      </c>
      <c r="L49" s="183">
        <f t="shared" si="13"/>
        <v>31.854116116518384</v>
      </c>
      <c r="M49" s="190">
        <f t="shared" ref="M49" si="14">(-K49+SQRT(K49^2-4*J49*L49))/(2*J49)</f>
        <v>-55.530364957695859</v>
      </c>
      <c r="N49" s="190">
        <f t="shared" ref="N49" si="15">(-K49-SQRT(K49^2-4*J49*L49))/(2*J49)</f>
        <v>19.084095863382036</v>
      </c>
      <c r="O49" s="193">
        <f t="shared" ref="O49" si="16">IF(M49&lt;0,N49,M49)</f>
        <v>19.084095863382036</v>
      </c>
      <c r="P49" s="194">
        <f>$J$30*O49^2</f>
        <v>2.5808015513233795</v>
      </c>
    </row>
    <row r="50" spans="2:16" x14ac:dyDescent="0.3">
      <c r="B50" s="223">
        <v>66.985914316129268</v>
      </c>
      <c r="C50" s="431">
        <v>161.72636700877374</v>
      </c>
      <c r="D50" s="398">
        <v>58.515540427751048</v>
      </c>
      <c r="E50" s="377">
        <f t="shared" si="12"/>
        <v>0.87354992501253848</v>
      </c>
      <c r="F50" s="405">
        <f t="shared" ref="F50:F53" si="17">D50-$F$8</f>
        <v>52.463540427751049</v>
      </c>
      <c r="O50" s="209">
        <v>5</v>
      </c>
      <c r="P50" s="209">
        <f>J30*O50^2</f>
        <v>0.17715419501133789</v>
      </c>
    </row>
    <row r="51" spans="2:16" x14ac:dyDescent="0.3">
      <c r="B51" s="223">
        <v>57.401277923323931</v>
      </c>
      <c r="C51" s="432">
        <v>204.33532835373816</v>
      </c>
      <c r="D51" s="433">
        <v>56.951275598473678</v>
      </c>
      <c r="E51" s="377">
        <f t="shared" si="12"/>
        <v>0.99216041277946176</v>
      </c>
      <c r="F51" s="405">
        <f t="shared" si="17"/>
        <v>50.899275598473679</v>
      </c>
      <c r="O51" s="209"/>
      <c r="P51" s="209"/>
    </row>
    <row r="52" spans="2:16" x14ac:dyDescent="0.3">
      <c r="B52" s="223">
        <v>46.551996151668753</v>
      </c>
      <c r="C52" s="432">
        <v>243.10866761542945</v>
      </c>
      <c r="D52" s="433">
        <v>55.526463196900359</v>
      </c>
      <c r="E52" s="377">
        <f t="shared" si="12"/>
        <v>1.1927837211532744</v>
      </c>
      <c r="F52" s="405">
        <f t="shared" si="17"/>
        <v>49.474463196900359</v>
      </c>
      <c r="O52" s="209"/>
      <c r="P52" s="209"/>
    </row>
    <row r="53" spans="2:16" ht="15" thickBot="1" x14ac:dyDescent="0.35">
      <c r="B53" s="224">
        <v>31.463307288085588</v>
      </c>
      <c r="C53" s="225">
        <v>283.89826637903229</v>
      </c>
      <c r="D53" s="376">
        <v>52.281529797921841</v>
      </c>
      <c r="E53" s="377">
        <f t="shared" si="12"/>
        <v>1.6616666938163753</v>
      </c>
      <c r="F53" s="405">
        <f t="shared" si="17"/>
        <v>46.229529797921842</v>
      </c>
    </row>
    <row r="54" spans="2:16" x14ac:dyDescent="0.3">
      <c r="D54" s="383"/>
      <c r="E54" s="121"/>
      <c r="F54" s="176"/>
      <c r="H54" s="176"/>
    </row>
    <row r="55" spans="2:16" x14ac:dyDescent="0.3">
      <c r="D55" s="383"/>
      <c r="E55" s="121"/>
      <c r="F55" s="176"/>
      <c r="H55" s="176"/>
    </row>
    <row r="56" spans="2:16" ht="15.75" x14ac:dyDescent="0.3">
      <c r="D56" s="383"/>
      <c r="F56" s="176"/>
      <c r="H56" s="176"/>
      <c r="I56" s="5" t="s">
        <v>250</v>
      </c>
    </row>
    <row r="57" spans="2:16" ht="15" thickBot="1" x14ac:dyDescent="0.35">
      <c r="B57" s="174" t="s">
        <v>295</v>
      </c>
      <c r="D57" s="383"/>
      <c r="F57" s="176"/>
      <c r="H57" s="176"/>
      <c r="I57" s="121" t="s">
        <v>445</v>
      </c>
    </row>
    <row r="58" spans="2:16" ht="15" thickBot="1" x14ac:dyDescent="0.35">
      <c r="B58" s="379" t="s">
        <v>215</v>
      </c>
      <c r="C58" s="380" t="s">
        <v>216</v>
      </c>
      <c r="D58" s="381" t="s">
        <v>217</v>
      </c>
      <c r="E58" s="382" t="s">
        <v>1</v>
      </c>
      <c r="F58" s="406" t="s">
        <v>383</v>
      </c>
      <c r="H58" s="176"/>
    </row>
    <row r="59" spans="2:16" x14ac:dyDescent="0.3">
      <c r="B59" s="440">
        <v>55.099329322945053</v>
      </c>
      <c r="C59" s="441">
        <v>5.9898461236503273</v>
      </c>
      <c r="D59" s="442">
        <v>26.75322128758614</v>
      </c>
      <c r="E59" s="438">
        <f>D59/B59</f>
        <v>0.48554531636459097</v>
      </c>
      <c r="F59" s="405">
        <f>D59-$F$8</f>
        <v>20.70122128758614</v>
      </c>
      <c r="H59" s="176"/>
      <c r="I59" s="121" t="s">
        <v>241</v>
      </c>
    </row>
    <row r="60" spans="2:16" x14ac:dyDescent="0.3">
      <c r="B60" s="435">
        <v>47.709267951218294</v>
      </c>
      <c r="C60" s="218">
        <v>36.889513774098411</v>
      </c>
      <c r="D60" s="375">
        <v>26.045296458908084</v>
      </c>
      <c r="E60" s="438">
        <f>D60/B60</f>
        <v>0.54591691672022391</v>
      </c>
      <c r="F60" s="405">
        <f>D60-$F$8</f>
        <v>19.993296458908084</v>
      </c>
      <c r="H60" s="176"/>
      <c r="I60" s="161" t="s">
        <v>242</v>
      </c>
    </row>
    <row r="61" spans="2:16" x14ac:dyDescent="0.3">
      <c r="B61" s="436">
        <v>37.445207442562555</v>
      </c>
      <c r="C61" s="218">
        <v>73.06512020700913</v>
      </c>
      <c r="D61" s="375">
        <v>24.800468612989299</v>
      </c>
      <c r="E61" s="438">
        <f t="shared" ref="E61:E63" si="18">D61/B61</f>
        <v>0.66231355911249512</v>
      </c>
      <c r="F61" s="405">
        <f>D61-$F$8</f>
        <v>18.748468612989299</v>
      </c>
      <c r="H61" s="176"/>
      <c r="I61" s="161" t="s">
        <v>248</v>
      </c>
      <c r="M61" s="121" t="s">
        <v>246</v>
      </c>
    </row>
    <row r="62" spans="2:16" x14ac:dyDescent="0.3">
      <c r="B62" s="436">
        <v>23.867734761456163</v>
      </c>
      <c r="C62" s="218">
        <v>107.55172128369327</v>
      </c>
      <c r="D62" s="375">
        <v>24.776316252120687</v>
      </c>
      <c r="E62" s="438">
        <f t="shared" si="18"/>
        <v>1.0380673532593376</v>
      </c>
      <c r="F62" s="405">
        <f>D62-$F$8</f>
        <v>18.724316252120687</v>
      </c>
      <c r="H62" s="176"/>
      <c r="I62" s="187" t="s">
        <v>243</v>
      </c>
      <c r="J62" s="175" t="s">
        <v>6</v>
      </c>
      <c r="K62" s="175" t="s">
        <v>7</v>
      </c>
      <c r="M62" s="204" t="s">
        <v>247</v>
      </c>
      <c r="N62" s="121" t="str">
        <f>IF(I24&lt;J67,I63,I64)</f>
        <v>0–9 V</v>
      </c>
    </row>
    <row r="63" spans="2:16" ht="15" thickBot="1" x14ac:dyDescent="0.35">
      <c r="B63" s="437">
        <v>10.197175285058821</v>
      </c>
      <c r="C63" s="229">
        <v>130.92468129795037</v>
      </c>
      <c r="D63" s="384">
        <v>22.813140109692256</v>
      </c>
      <c r="E63" s="439">
        <f t="shared" si="18"/>
        <v>2.2372019183703444</v>
      </c>
      <c r="F63" s="405">
        <f>D63-$F$8</f>
        <v>16.761140109692256</v>
      </c>
      <c r="H63" s="176"/>
      <c r="I63" s="187" t="s">
        <v>446</v>
      </c>
      <c r="J63" s="175">
        <f t="array" ref="J63:K63">LINEST(O46:O49,I46:I49)</f>
        <v>17.383738029329443</v>
      </c>
      <c r="K63" s="175">
        <v>-16.629250790363074</v>
      </c>
      <c r="M63" s="204"/>
    </row>
    <row r="64" spans="2:16" x14ac:dyDescent="0.3">
      <c r="C64" s="174"/>
      <c r="F64" s="176"/>
      <c r="H64" s="176"/>
      <c r="I64" s="187" t="s">
        <v>447</v>
      </c>
      <c r="J64" s="175">
        <f t="array" ref="J64:K64">LINEST(J66:J67,I66:I67)</f>
        <v>5.8292523107111265</v>
      </c>
      <c r="K64" s="175">
        <v>87.361120677201768</v>
      </c>
      <c r="M64" s="205" t="s">
        <v>249</v>
      </c>
      <c r="N64" s="198">
        <f>IF(N62=I63,(I24-K63)/J63,(I24-K64)/J64)</f>
        <v>5.7887003716107381</v>
      </c>
      <c r="O64" s="196"/>
    </row>
    <row r="65" spans="2:16" x14ac:dyDescent="0.3">
      <c r="C65" s="174"/>
      <c r="F65" s="176"/>
      <c r="H65" s="176"/>
      <c r="M65" s="121" t="s">
        <v>341</v>
      </c>
      <c r="N65" s="200">
        <f>IF(N134,N64,"-")</f>
        <v>5.7887003716107381</v>
      </c>
    </row>
    <row r="66" spans="2:16" ht="15" thickBot="1" x14ac:dyDescent="0.35">
      <c r="B66" s="174" t="s">
        <v>415</v>
      </c>
      <c r="C66" s="174"/>
      <c r="F66" s="176"/>
      <c r="H66" s="176"/>
      <c r="I66" s="187">
        <v>10</v>
      </c>
      <c r="J66" s="504">
        <f>O45</f>
        <v>145.65364378431303</v>
      </c>
      <c r="N66" s="200"/>
    </row>
    <row r="67" spans="2:16" ht="15" thickBot="1" x14ac:dyDescent="0.35">
      <c r="B67" s="379" t="s">
        <v>215</v>
      </c>
      <c r="C67" s="380" t="s">
        <v>216</v>
      </c>
      <c r="D67" s="381" t="s">
        <v>217</v>
      </c>
      <c r="E67" s="382" t="s">
        <v>1</v>
      </c>
      <c r="F67" s="406" t="s">
        <v>383</v>
      </c>
      <c r="H67" s="176"/>
      <c r="I67" s="187">
        <v>9</v>
      </c>
      <c r="J67" s="187">
        <f>J63*I67+K63</f>
        <v>139.82439147360191</v>
      </c>
      <c r="N67" s="200"/>
    </row>
    <row r="68" spans="2:16" x14ac:dyDescent="0.3">
      <c r="B68" s="440">
        <v>4.6200235579895867</v>
      </c>
      <c r="C68" s="441">
        <v>26.302502153194688</v>
      </c>
      <c r="D68" s="442">
        <v>12.309768606256519</v>
      </c>
      <c r="E68" s="438">
        <f>D68/B68</f>
        <v>2.6644384929528675</v>
      </c>
      <c r="F68" s="405">
        <f>D68-$F$8</f>
        <v>6.2577686062565183</v>
      </c>
      <c r="H68" s="176"/>
      <c r="I68" s="187">
        <f>I46</f>
        <v>8</v>
      </c>
      <c r="J68" s="504">
        <f>O46</f>
        <v>123.49583115646229</v>
      </c>
      <c r="N68" s="200"/>
    </row>
    <row r="69" spans="2:16" x14ac:dyDescent="0.3">
      <c r="B69" s="435">
        <v>12.058153357977767</v>
      </c>
      <c r="C69" s="218">
        <v>15.304166584055867</v>
      </c>
      <c r="D69" s="375">
        <v>12.860124222090938</v>
      </c>
      <c r="E69" s="438">
        <f>D69/B69</f>
        <v>1.0665085971545205</v>
      </c>
      <c r="F69" s="405">
        <f>D69-$F$8</f>
        <v>6.8081242220909379</v>
      </c>
      <c r="H69" s="176"/>
      <c r="I69" s="187">
        <f>I47</f>
        <v>6</v>
      </c>
      <c r="J69" s="504">
        <f t="shared" ref="J69:J71" si="19">O47</f>
        <v>86.508692556320128</v>
      </c>
      <c r="N69" s="200"/>
    </row>
    <row r="70" spans="2:16" x14ac:dyDescent="0.3">
      <c r="B70" s="436">
        <v>19.048481688173819</v>
      </c>
      <c r="C70" s="218">
        <v>2.6510147011734388</v>
      </c>
      <c r="D70" s="375">
        <v>12.623527474065869</v>
      </c>
      <c r="E70" s="438">
        <f t="shared" ref="E70" si="20">D70/B70</f>
        <v>0.66270517937936968</v>
      </c>
      <c r="F70" s="405">
        <f>D70-$F$8</f>
        <v>6.571527474065868</v>
      </c>
      <c r="H70" s="176"/>
      <c r="I70" s="187">
        <f>I48</f>
        <v>4</v>
      </c>
      <c r="J70" s="504">
        <f t="shared" si="19"/>
        <v>52.069137848972048</v>
      </c>
      <c r="N70" s="200"/>
    </row>
    <row r="71" spans="2:16" x14ac:dyDescent="0.3">
      <c r="B71" s="436"/>
      <c r="C71" s="218"/>
      <c r="D71" s="375"/>
      <c r="E71" s="438"/>
      <c r="F71" s="405"/>
      <c r="H71" s="176"/>
      <c r="I71" s="187">
        <f>I49</f>
        <v>2</v>
      </c>
      <c r="J71" s="504">
        <f t="shared" si="19"/>
        <v>19.084095863382036</v>
      </c>
      <c r="N71" s="200"/>
    </row>
    <row r="72" spans="2:16" x14ac:dyDescent="0.3">
      <c r="C72" s="174"/>
      <c r="F72" s="176"/>
      <c r="H72" s="176"/>
      <c r="N72" s="200"/>
    </row>
    <row r="73" spans="2:16" ht="15" thickBot="1" x14ac:dyDescent="0.35">
      <c r="H73" s="176"/>
    </row>
    <row r="74" spans="2:16" ht="15.75" x14ac:dyDescent="0.3">
      <c r="B74" s="506" t="s">
        <v>444</v>
      </c>
      <c r="C74" s="507"/>
      <c r="D74" s="507"/>
      <c r="E74" s="507"/>
      <c r="F74" s="507"/>
      <c r="G74" s="508"/>
      <c r="H74" s="176"/>
      <c r="I74" s="5" t="s">
        <v>267</v>
      </c>
    </row>
    <row r="75" spans="2:16" x14ac:dyDescent="0.3">
      <c r="B75" s="509" t="s">
        <v>402</v>
      </c>
      <c r="C75" s="510"/>
      <c r="D75" s="510"/>
      <c r="E75" s="510"/>
      <c r="F75" s="510"/>
      <c r="G75" s="511"/>
      <c r="I75" s="121" t="s">
        <v>386</v>
      </c>
      <c r="N75" s="121" t="s">
        <v>268</v>
      </c>
    </row>
    <row r="76" spans="2:16" x14ac:dyDescent="0.3">
      <c r="B76" s="509" t="s">
        <v>403</v>
      </c>
      <c r="C76" s="510"/>
      <c r="D76" s="510"/>
      <c r="E76" s="510"/>
      <c r="F76" s="510"/>
      <c r="G76" s="511"/>
      <c r="I76" s="187" t="s">
        <v>11</v>
      </c>
      <c r="J76" s="385">
        <v>660</v>
      </c>
      <c r="K76" s="199"/>
      <c r="N76" s="187" t="s">
        <v>11</v>
      </c>
      <c r="O76" s="385">
        <v>10</v>
      </c>
      <c r="P76" s="199"/>
    </row>
    <row r="77" spans="2:16" x14ac:dyDescent="0.3">
      <c r="B77" s="509"/>
      <c r="C77" s="510"/>
      <c r="D77" s="510"/>
      <c r="E77" s="510"/>
      <c r="F77" s="510"/>
      <c r="G77" s="511"/>
      <c r="I77" s="187" t="s">
        <v>10</v>
      </c>
      <c r="J77" s="385">
        <v>85</v>
      </c>
      <c r="N77" s="187" t="s">
        <v>10</v>
      </c>
      <c r="O77" s="385">
        <v>150</v>
      </c>
    </row>
    <row r="78" spans="2:16" x14ac:dyDescent="0.3">
      <c r="B78" s="512" t="s">
        <v>410</v>
      </c>
      <c r="C78" s="510"/>
      <c r="D78" s="510"/>
      <c r="E78" s="510"/>
      <c r="F78" s="510"/>
      <c r="G78" s="511"/>
      <c r="I78" s="121" t="s">
        <v>261</v>
      </c>
      <c r="J78" s="200">
        <f>J76/J77</f>
        <v>7.7647058823529411</v>
      </c>
      <c r="N78" s="121" t="s">
        <v>261</v>
      </c>
      <c r="O78" s="206">
        <f>O76/O77^2</f>
        <v>4.4444444444444447E-4</v>
      </c>
    </row>
    <row r="79" spans="2:16" ht="15" thickBot="1" x14ac:dyDescent="0.35">
      <c r="B79" s="513" t="s">
        <v>10</v>
      </c>
      <c r="C79" s="514" t="s">
        <v>411</v>
      </c>
      <c r="D79" s="514" t="s">
        <v>412</v>
      </c>
      <c r="E79" s="515" t="s">
        <v>404</v>
      </c>
      <c r="F79" s="510"/>
      <c r="G79" s="511"/>
    </row>
    <row r="80" spans="2:16" x14ac:dyDescent="0.3">
      <c r="B80" s="516">
        <v>40</v>
      </c>
      <c r="C80" s="517">
        <v>0</v>
      </c>
      <c r="D80" s="517">
        <v>0</v>
      </c>
      <c r="E80" s="518">
        <v>0</v>
      </c>
      <c r="F80" s="510"/>
      <c r="G80" s="511"/>
      <c r="I80" s="121" t="s">
        <v>272</v>
      </c>
      <c r="N80" s="121" t="s">
        <v>273</v>
      </c>
    </row>
    <row r="81" spans="2:16" ht="15" thickBot="1" x14ac:dyDescent="0.35">
      <c r="B81" s="519">
        <v>160</v>
      </c>
      <c r="C81" s="520">
        <v>45</v>
      </c>
      <c r="D81" s="520">
        <v>48.8</v>
      </c>
      <c r="E81" s="521">
        <f>D81-C81</f>
        <v>3.7999999999999972</v>
      </c>
      <c r="F81" s="510"/>
      <c r="G81" s="511"/>
      <c r="I81" s="386" t="s">
        <v>223</v>
      </c>
      <c r="J81" s="178" t="s">
        <v>11</v>
      </c>
      <c r="N81" s="386" t="s">
        <v>223</v>
      </c>
      <c r="O81" s="178" t="s">
        <v>11</v>
      </c>
    </row>
    <row r="82" spans="2:16" x14ac:dyDescent="0.3">
      <c r="B82" s="519">
        <v>240</v>
      </c>
      <c r="C82" s="520">
        <v>71.400000000000006</v>
      </c>
      <c r="D82" s="520">
        <v>85.7</v>
      </c>
      <c r="E82" s="521">
        <f>D82-C82</f>
        <v>14.299999999999997</v>
      </c>
      <c r="F82" s="510"/>
      <c r="G82" s="511"/>
      <c r="I82" s="387">
        <v>5</v>
      </c>
      <c r="J82" s="191">
        <f>$J$78*I82</f>
        <v>38.823529411764703</v>
      </c>
      <c r="N82" s="387">
        <v>5</v>
      </c>
      <c r="O82" s="191">
        <f>$O$78*N82^2</f>
        <v>1.1111111111111112E-2</v>
      </c>
    </row>
    <row r="83" spans="2:16" x14ac:dyDescent="0.3">
      <c r="B83" s="519">
        <v>300</v>
      </c>
      <c r="C83" s="520">
        <v>106</v>
      </c>
      <c r="D83" s="520">
        <v>119</v>
      </c>
      <c r="E83" s="521">
        <f>D83-C83</f>
        <v>13</v>
      </c>
      <c r="F83" s="510"/>
      <c r="G83" s="511"/>
      <c r="H83" s="176"/>
      <c r="I83" s="192">
        <f>AVERAGE(I85,I82,I82)</f>
        <v>31.666666666666668</v>
      </c>
      <c r="J83" s="191">
        <f>$J$78*I83</f>
        <v>245.88235294117649</v>
      </c>
      <c r="N83" s="192">
        <f>AVERAGE(N85,N82,N82)</f>
        <v>53.333333333333336</v>
      </c>
      <c r="O83" s="192">
        <f>$O$78*N83^2</f>
        <v>1.2641975308641977</v>
      </c>
    </row>
    <row r="84" spans="2:16" x14ac:dyDescent="0.3">
      <c r="B84" s="519">
        <v>350</v>
      </c>
      <c r="C84" s="520">
        <v>139</v>
      </c>
      <c r="D84" s="520">
        <v>151</v>
      </c>
      <c r="E84" s="521">
        <f>D84-C84</f>
        <v>12</v>
      </c>
      <c r="F84" s="510"/>
      <c r="G84" s="511"/>
      <c r="H84" s="176"/>
      <c r="I84" s="192">
        <f>AVERAGE(I85,I85,I82)</f>
        <v>58.333333333333336</v>
      </c>
      <c r="J84" s="191">
        <f>$J$78*I84</f>
        <v>452.94117647058823</v>
      </c>
      <c r="N84" s="192">
        <f>AVERAGE(N85,N85,N82)</f>
        <v>101.66666666666667</v>
      </c>
      <c r="O84" s="192">
        <f>$O$78*N84^2</f>
        <v>4.5938271604938272</v>
      </c>
    </row>
    <row r="85" spans="2:16" x14ac:dyDescent="0.3">
      <c r="B85" s="509"/>
      <c r="C85" s="510"/>
      <c r="D85" s="510"/>
      <c r="E85" s="510"/>
      <c r="F85" s="510"/>
      <c r="G85" s="511"/>
      <c r="H85" s="176"/>
      <c r="I85" s="192">
        <f>J77</f>
        <v>85</v>
      </c>
      <c r="J85" s="191">
        <f>$J$78*I85</f>
        <v>660</v>
      </c>
      <c r="N85" s="192">
        <f>O77</f>
        <v>150</v>
      </c>
      <c r="O85" s="192">
        <f>$O$78*N85^2</f>
        <v>10</v>
      </c>
    </row>
    <row r="86" spans="2:16" x14ac:dyDescent="0.3">
      <c r="B86" s="509" t="s">
        <v>413</v>
      </c>
      <c r="C86" s="510" t="s">
        <v>414</v>
      </c>
      <c r="D86" s="522">
        <f t="array" ref="D86:E86">LINEST(E80:E84,B80:B84)</f>
        <v>4.5981903485254688E-2</v>
      </c>
      <c r="E86" s="522">
        <v>-1.4040549597855225</v>
      </c>
      <c r="F86" s="510"/>
      <c r="G86" s="511"/>
      <c r="H86" s="176"/>
    </row>
    <row r="87" spans="2:16" x14ac:dyDescent="0.3">
      <c r="B87" s="509"/>
      <c r="C87" s="522"/>
      <c r="D87" s="510"/>
      <c r="E87" s="510"/>
      <c r="F87" s="510"/>
      <c r="G87" s="511"/>
      <c r="H87" s="176"/>
    </row>
    <row r="88" spans="2:16" ht="15.75" x14ac:dyDescent="0.3">
      <c r="B88" s="523"/>
      <c r="C88" s="524"/>
      <c r="D88" s="525"/>
      <c r="E88" s="526"/>
      <c r="F88" s="526"/>
      <c r="G88" s="527"/>
      <c r="H88" s="176"/>
      <c r="I88" s="5" t="s">
        <v>280</v>
      </c>
      <c r="N88"/>
    </row>
    <row r="89" spans="2:16" x14ac:dyDescent="0.3">
      <c r="B89" s="523"/>
      <c r="C89" s="524"/>
      <c r="D89" s="525"/>
      <c r="E89" s="526"/>
      <c r="F89" s="526"/>
      <c r="G89" s="527"/>
      <c r="H89" s="176"/>
    </row>
    <row r="90" spans="2:16" x14ac:dyDescent="0.3">
      <c r="B90" s="523"/>
      <c r="C90" s="525"/>
      <c r="D90" s="525"/>
      <c r="E90" s="526"/>
      <c r="F90" s="525"/>
      <c r="G90" s="527"/>
      <c r="H90" s="176"/>
      <c r="I90" s="174" t="s">
        <v>278</v>
      </c>
    </row>
    <row r="91" spans="2:16" x14ac:dyDescent="0.3">
      <c r="B91" s="523"/>
      <c r="C91" s="525"/>
      <c r="D91" s="525"/>
      <c r="E91" s="526"/>
      <c r="F91" s="525"/>
      <c r="G91" s="527"/>
      <c r="H91" s="176"/>
      <c r="I91" s="121" t="s">
        <v>279</v>
      </c>
      <c r="M91" s="174" t="s">
        <v>384</v>
      </c>
    </row>
    <row r="92" spans="2:16" x14ac:dyDescent="0.3">
      <c r="B92" s="523"/>
      <c r="C92" s="525"/>
      <c r="D92" s="525"/>
      <c r="E92" s="526"/>
      <c r="F92" s="525"/>
      <c r="G92" s="527"/>
      <c r="H92" s="176"/>
      <c r="I92" s="121" t="s">
        <v>382</v>
      </c>
      <c r="L92" s="185" t="s">
        <v>186</v>
      </c>
      <c r="M92" s="385">
        <v>180</v>
      </c>
    </row>
    <row r="93" spans="2:16" x14ac:dyDescent="0.3">
      <c r="B93" s="523"/>
      <c r="C93" s="525"/>
      <c r="D93" s="525"/>
      <c r="E93" s="526"/>
      <c r="F93" s="525"/>
      <c r="G93" s="527"/>
      <c r="H93" s="176"/>
      <c r="O93"/>
      <c r="P93"/>
    </row>
    <row r="94" spans="2:16" x14ac:dyDescent="0.3">
      <c r="B94" s="523"/>
      <c r="C94" s="525"/>
      <c r="D94" s="525"/>
      <c r="E94" s="526"/>
      <c r="F94" s="525"/>
      <c r="G94" s="527"/>
      <c r="H94" s="176"/>
      <c r="I94" s="175" t="s">
        <v>237</v>
      </c>
      <c r="J94" s="400" t="s">
        <v>6</v>
      </c>
      <c r="K94" s="401" t="s">
        <v>7</v>
      </c>
      <c r="L94" s="402" t="s">
        <v>8</v>
      </c>
      <c r="M94" s="185" t="s">
        <v>282</v>
      </c>
      <c r="N94" s="209" t="s">
        <v>187</v>
      </c>
      <c r="O94"/>
      <c r="P94"/>
    </row>
    <row r="95" spans="2:16" x14ac:dyDescent="0.3">
      <c r="B95" s="523"/>
      <c r="C95" s="525"/>
      <c r="D95" s="525"/>
      <c r="E95" s="526"/>
      <c r="F95" s="525"/>
      <c r="G95" s="527"/>
      <c r="H95" s="176"/>
      <c r="I95" s="175">
        <v>10</v>
      </c>
      <c r="J95" s="175">
        <f t="array" ref="J95:L95">LINEST(F10:F22,C10:C22^{1,2})</f>
        <v>1.8032008828581586E-5</v>
      </c>
      <c r="K95" s="175">
        <v>-1.0217565911910247E-2</v>
      </c>
      <c r="L95" s="190">
        <v>173.86469847485816</v>
      </c>
      <c r="M95" s="195">
        <f>P45</f>
        <v>150.33293613695827</v>
      </c>
      <c r="N95" s="160">
        <f>IF((J95*$M$95^2+K95*$M$95+L95)&gt;M92,M92,(J95*$M$95^2+K95*$M$95+L95))</f>
        <v>172.73618504078374</v>
      </c>
      <c r="O95" s="121" t="s">
        <v>284</v>
      </c>
      <c r="P95"/>
    </row>
    <row r="96" spans="2:16" x14ac:dyDescent="0.3">
      <c r="B96" s="523"/>
      <c r="C96" s="525"/>
      <c r="D96" s="528"/>
      <c r="E96" s="528"/>
      <c r="F96" s="525"/>
      <c r="G96" s="527"/>
      <c r="H96" s="176"/>
      <c r="I96" s="175">
        <v>8</v>
      </c>
      <c r="J96" s="175">
        <f t="array" ref="J96:L96">LINEST(F31:F40,C31:C40^{1,2})</f>
        <v>-1.1393720214231136E-4</v>
      </c>
      <c r="K96" s="175">
        <v>3.9360913351560937E-2</v>
      </c>
      <c r="L96" s="190">
        <v>112.811914092547</v>
      </c>
      <c r="M96" s="195">
        <f>P46</f>
        <v>108.07270629978346</v>
      </c>
      <c r="N96" s="160">
        <f>J96*$M$96^2+K96*$M$96+L96</f>
        <v>115.73500105908492</v>
      </c>
      <c r="O96"/>
      <c r="P96"/>
    </row>
    <row r="97" spans="2:22" x14ac:dyDescent="0.3">
      <c r="B97" s="523"/>
      <c r="C97" s="525"/>
      <c r="D97" s="525"/>
      <c r="E97" s="526"/>
      <c r="F97" s="525"/>
      <c r="G97" s="527"/>
      <c r="H97" s="176"/>
      <c r="I97" s="175">
        <v>6</v>
      </c>
      <c r="J97" s="175">
        <f t="array" ref="J97:L97">LINEST(F46:F52,C46:C52^{1,2})</f>
        <v>-1.5075990160318318E-4</v>
      </c>
      <c r="K97" s="175">
        <v>2.6492285007138558E-2</v>
      </c>
      <c r="L97" s="190">
        <v>51.932656668322309</v>
      </c>
      <c r="M97" s="195">
        <f>P47</f>
        <v>53.031135826274927</v>
      </c>
      <c r="N97" s="160">
        <f>J97*$M$97^2+K97*$M$97+L97</f>
        <v>52.913590355513101</v>
      </c>
      <c r="O97"/>
      <c r="P97"/>
    </row>
    <row r="98" spans="2:22" x14ac:dyDescent="0.3">
      <c r="B98" s="523"/>
      <c r="C98" s="525"/>
      <c r="D98" s="525"/>
      <c r="E98" s="526"/>
      <c r="F98" s="525"/>
      <c r="G98" s="527"/>
      <c r="H98" s="176"/>
      <c r="I98" s="175">
        <v>4</v>
      </c>
      <c r="J98" s="175">
        <f t="array" ref="J98:L98">LINEST(F59:F63,C59:C63^{1,2})</f>
        <v>-1.0480871525260952E-4</v>
      </c>
      <c r="K98" s="175">
        <v>-1.3641828003675709E-2</v>
      </c>
      <c r="L98" s="190">
        <v>20.69564360953121</v>
      </c>
      <c r="M98" s="195">
        <f>P48</f>
        <v>19.211983534121693</v>
      </c>
      <c r="N98" s="160">
        <f>J98*$M$98^2+K98*$M$98+L98</f>
        <v>20.394872105120971</v>
      </c>
      <c r="O98"/>
      <c r="P98"/>
      <c r="Q98"/>
      <c r="R98"/>
      <c r="S98"/>
      <c r="T98"/>
      <c r="U98"/>
      <c r="V98"/>
    </row>
    <row r="99" spans="2:22" x14ac:dyDescent="0.3">
      <c r="B99" s="529"/>
      <c r="C99" s="525"/>
      <c r="D99" s="525"/>
      <c r="E99" s="526"/>
      <c r="F99" s="525"/>
      <c r="G99" s="527"/>
      <c r="H99" s="176"/>
      <c r="I99" s="175">
        <v>2</v>
      </c>
      <c r="J99" s="175">
        <f t="array" ref="J99:L99">LINEST(F68:F70,C68:C70^{1,2})</f>
        <v>-2.9063094554381973E-3</v>
      </c>
      <c r="K99" s="175">
        <v>7.0881954415915799E-2</v>
      </c>
      <c r="L99" s="190">
        <v>6.4040435618933333</v>
      </c>
      <c r="M99" s="195">
        <f>P49</f>
        <v>2.5808015513233795</v>
      </c>
      <c r="N99" s="160">
        <f>J99*$M$99^2+K99*$M$99+L99</f>
        <v>6.5676182391743829</v>
      </c>
      <c r="O99"/>
      <c r="P99"/>
      <c r="Q99"/>
      <c r="R99"/>
      <c r="S99"/>
      <c r="T99"/>
      <c r="U99"/>
    </row>
    <row r="100" spans="2:22" x14ac:dyDescent="0.3">
      <c r="B100" s="529"/>
      <c r="C100" s="525"/>
      <c r="D100" s="525"/>
      <c r="E100" s="526"/>
      <c r="F100" s="525"/>
      <c r="G100" s="527"/>
      <c r="H100" s="176"/>
      <c r="O100"/>
      <c r="P100"/>
      <c r="Q100"/>
      <c r="R100"/>
      <c r="S100"/>
      <c r="T100"/>
      <c r="U100"/>
    </row>
    <row r="101" spans="2:22" x14ac:dyDescent="0.3">
      <c r="B101" s="529"/>
      <c r="C101" s="525"/>
      <c r="D101" s="525"/>
      <c r="E101" s="526"/>
      <c r="F101" s="525"/>
      <c r="G101" s="527"/>
      <c r="H101" s="176"/>
      <c r="I101" s="174" t="s">
        <v>286</v>
      </c>
      <c r="O101"/>
      <c r="P101"/>
      <c r="Q101"/>
      <c r="R101"/>
      <c r="S101"/>
      <c r="T101"/>
      <c r="U101"/>
    </row>
    <row r="102" spans="2:22" x14ac:dyDescent="0.3">
      <c r="B102" s="529"/>
      <c r="C102" s="525"/>
      <c r="D102" s="525"/>
      <c r="E102" s="526"/>
      <c r="F102" s="525"/>
      <c r="G102" s="527"/>
      <c r="H102" s="176"/>
      <c r="I102" s="161" t="s">
        <v>350</v>
      </c>
      <c r="O102"/>
      <c r="P102"/>
      <c r="Q102"/>
      <c r="R102"/>
      <c r="S102"/>
      <c r="T102"/>
      <c r="U102"/>
    </row>
    <row r="103" spans="2:22" ht="15" thickBot="1" x14ac:dyDescent="0.35">
      <c r="B103" s="529"/>
      <c r="C103" s="525"/>
      <c r="D103" s="525"/>
      <c r="E103" s="526"/>
      <c r="F103" s="525"/>
      <c r="G103" s="527"/>
      <c r="H103" s="176"/>
      <c r="I103" s="161" t="s">
        <v>288</v>
      </c>
      <c r="O103"/>
      <c r="P103"/>
      <c r="Q103"/>
      <c r="R103"/>
      <c r="S103"/>
      <c r="T103"/>
      <c r="U103"/>
    </row>
    <row r="104" spans="2:22" x14ac:dyDescent="0.3">
      <c r="B104" s="529" t="s">
        <v>416</v>
      </c>
      <c r="C104" s="525"/>
      <c r="D104" s="525"/>
      <c r="E104" s="526"/>
      <c r="F104" s="525"/>
      <c r="G104" s="527"/>
      <c r="H104" s="176"/>
      <c r="J104" s="197" t="s">
        <v>6</v>
      </c>
      <c r="K104" s="197" t="s">
        <v>7</v>
      </c>
      <c r="L104" s="197" t="s">
        <v>8</v>
      </c>
      <c r="M104" s="197" t="s">
        <v>5</v>
      </c>
      <c r="N104" s="355" t="s">
        <v>276</v>
      </c>
      <c r="O104"/>
      <c r="P104"/>
      <c r="Q104"/>
      <c r="R104"/>
      <c r="S104"/>
      <c r="T104"/>
      <c r="U104"/>
    </row>
    <row r="105" spans="2:22" x14ac:dyDescent="0.3">
      <c r="B105" s="530" t="s">
        <v>405</v>
      </c>
      <c r="C105" s="531">
        <f t="array" ref="C105:E105">LINEST(C10:C24,B10:B24^{1,2})</f>
        <v>-2.0224346199179833E-2</v>
      </c>
      <c r="D105" s="532">
        <v>-2.6884340650139547</v>
      </c>
      <c r="E105" s="531">
        <v>970.97233374738039</v>
      </c>
      <c r="F105" s="528"/>
      <c r="G105" s="527"/>
      <c r="H105" s="176"/>
      <c r="I105" s="201" t="s">
        <v>239</v>
      </c>
      <c r="J105" s="175">
        <f t="array" ref="J105:L105">LINEST(N96:N99,I96:I99^{1,2})</f>
        <v>3.0621348023515722</v>
      </c>
      <c r="K105" s="175">
        <v>-12.620304688009551</v>
      </c>
      <c r="L105" s="175">
        <v>20.140249809223931</v>
      </c>
      <c r="M105" s="175"/>
      <c r="N105" s="356">
        <f>J105*N64^2+K105*N64+L105</f>
        <v>49.694321671290453</v>
      </c>
      <c r="O105"/>
      <c r="P105"/>
      <c r="Q105"/>
      <c r="R105"/>
      <c r="S105"/>
      <c r="T105"/>
      <c r="U105"/>
    </row>
    <row r="106" spans="2:22" ht="15" thickBot="1" x14ac:dyDescent="0.35">
      <c r="B106" s="530" t="s">
        <v>406</v>
      </c>
      <c r="C106" s="531">
        <f t="array" ref="C106:E106">LINEST(C31:C42,B31:B42^{1,2})</f>
        <v>-3.1284026535101178E-2</v>
      </c>
      <c r="D106" s="532">
        <v>3.167672452282061E-2</v>
      </c>
      <c r="E106" s="531">
        <v>581.28034384188527</v>
      </c>
      <c r="F106" s="528"/>
      <c r="G106" s="527"/>
      <c r="H106" s="176"/>
      <c r="I106" s="201" t="s">
        <v>240</v>
      </c>
      <c r="J106" s="175">
        <f t="array" ref="J106:K106">LINEST(N95:N96,I95:I96)</f>
        <v>28.500591990849419</v>
      </c>
      <c r="K106" s="175">
        <v>-112.26973486771044</v>
      </c>
      <c r="L106" s="175"/>
      <c r="M106" s="175"/>
      <c r="N106" s="357">
        <f>J106*N64+K106</f>
        <v>52.711652580845623</v>
      </c>
      <c r="O106"/>
      <c r="P106"/>
      <c r="Q106"/>
      <c r="R106"/>
      <c r="S106"/>
      <c r="T106"/>
      <c r="U106"/>
    </row>
    <row r="107" spans="2:22" x14ac:dyDescent="0.3">
      <c r="B107" s="530" t="s">
        <v>407</v>
      </c>
      <c r="C107" s="531">
        <f t="array" ref="C107:E107">LINEST(C46:C53,B46:B53^{1,2})</f>
        <v>-3.8338530516570955E-2</v>
      </c>
      <c r="D107" s="532">
        <v>0.33143572464644039</v>
      </c>
      <c r="E107" s="531">
        <v>311.27519142673174</v>
      </c>
      <c r="F107" s="528"/>
      <c r="G107" s="527"/>
      <c r="H107" s="176"/>
      <c r="P107"/>
      <c r="Q107"/>
      <c r="R107"/>
      <c r="S107"/>
      <c r="T107"/>
      <c r="U107"/>
    </row>
    <row r="108" spans="2:22" x14ac:dyDescent="0.3">
      <c r="B108" s="530" t="s">
        <v>408</v>
      </c>
      <c r="C108" s="531">
        <f t="array" ref="C108:E108">LINEST(C59:C63,B59:B63^{1,2})</f>
        <v>-3.6164845391165608E-2</v>
      </c>
      <c r="D108" s="532">
        <v>-0.41026257153551116</v>
      </c>
      <c r="E108" s="531">
        <v>138.62395413322565</v>
      </c>
      <c r="F108" s="528"/>
      <c r="G108" s="527"/>
      <c r="H108" s="176"/>
      <c r="I108" s="174" t="s">
        <v>349</v>
      </c>
      <c r="N108"/>
      <c r="P108"/>
      <c r="Q108"/>
      <c r="R108"/>
      <c r="S108"/>
      <c r="T108"/>
      <c r="U108"/>
    </row>
    <row r="109" spans="2:22" x14ac:dyDescent="0.3">
      <c r="B109" s="530" t="s">
        <v>417</v>
      </c>
      <c r="C109" s="531">
        <f t="array" ref="C109:E109">LINEST(C68:C70,B68:B70^{1,2})</f>
        <v>-2.2972064855313144E-2</v>
      </c>
      <c r="D109" s="532">
        <v>-1.095510435871563</v>
      </c>
      <c r="E109" s="531">
        <v>31.854116116518384</v>
      </c>
      <c r="F109" s="525"/>
      <c r="G109" s="527"/>
      <c r="H109" s="176"/>
      <c r="I109" s="161" t="s">
        <v>350</v>
      </c>
      <c r="P109"/>
      <c r="Q109"/>
      <c r="R109"/>
      <c r="S109"/>
      <c r="T109"/>
      <c r="U109"/>
    </row>
    <row r="110" spans="2:22" ht="15" thickBot="1" x14ac:dyDescent="0.35">
      <c r="B110" s="533" t="s">
        <v>409</v>
      </c>
      <c r="C110" s="534"/>
      <c r="D110" s="534"/>
      <c r="E110" s="534"/>
      <c r="F110" s="525"/>
      <c r="G110" s="527"/>
      <c r="H110" s="176"/>
      <c r="I110" s="161" t="s">
        <v>288</v>
      </c>
      <c r="P110"/>
      <c r="Q110"/>
      <c r="R110"/>
      <c r="S110"/>
      <c r="T110"/>
      <c r="U110"/>
    </row>
    <row r="111" spans="2:22" x14ac:dyDescent="0.3">
      <c r="B111" s="535" t="s">
        <v>405</v>
      </c>
      <c r="C111" s="536">
        <f>C105</f>
        <v>-2.0224346199179833E-2</v>
      </c>
      <c r="D111" s="537">
        <f>D105-$D$86</f>
        <v>-2.7344159684992095</v>
      </c>
      <c r="E111" s="536">
        <f>E105-$E$86</f>
        <v>972.37638870716592</v>
      </c>
      <c r="F111" s="525"/>
      <c r="G111" s="527"/>
      <c r="H111" s="176"/>
      <c r="J111" s="197" t="s">
        <v>6</v>
      </c>
      <c r="K111" s="197" t="s">
        <v>7</v>
      </c>
      <c r="L111" s="197" t="s">
        <v>8</v>
      </c>
      <c r="N111" s="355" t="s">
        <v>276</v>
      </c>
      <c r="P111"/>
      <c r="Q111"/>
      <c r="R111"/>
      <c r="S111"/>
      <c r="T111"/>
      <c r="U111"/>
    </row>
    <row r="112" spans="2:22" x14ac:dyDescent="0.3">
      <c r="B112" s="535" t="s">
        <v>406</v>
      </c>
      <c r="C112" s="536">
        <f t="shared" ref="C112:C114" si="21">C106</f>
        <v>-3.1284026535101178E-2</v>
      </c>
      <c r="D112" s="537">
        <f t="shared" ref="D112:D114" si="22">D106-$D$86</f>
        <v>-1.4305178962434079E-2</v>
      </c>
      <c r="E112" s="536">
        <f t="shared" ref="E112:E114" si="23">E106-$E$86</f>
        <v>582.6843988016708</v>
      </c>
      <c r="F112" s="525"/>
      <c r="G112" s="527"/>
      <c r="H112" s="176"/>
      <c r="I112" s="201" t="s">
        <v>239</v>
      </c>
      <c r="J112" s="175">
        <f t="array" ref="J112:L112">LINEST(N96:N99,M96:M99^{1,2})</f>
        <v>2.1277764141197386E-3</v>
      </c>
      <c r="K112" s="175">
        <v>0.80042094148004173</v>
      </c>
      <c r="L112" s="175">
        <v>4.3953741222047205</v>
      </c>
      <c r="M112" s="199" t="s">
        <v>351</v>
      </c>
      <c r="N112" s="356">
        <f>J112*I25^2+K112*I25+L112</f>
        <v>49.735862231506154</v>
      </c>
      <c r="P112"/>
      <c r="Q112"/>
      <c r="R112"/>
      <c r="S112"/>
      <c r="T112"/>
      <c r="U112"/>
    </row>
    <row r="113" spans="2:21" ht="15" thickBot="1" x14ac:dyDescent="0.35">
      <c r="B113" s="535" t="s">
        <v>407</v>
      </c>
      <c r="C113" s="536">
        <f t="shared" si="21"/>
        <v>-3.8338530516570955E-2</v>
      </c>
      <c r="D113" s="537">
        <f t="shared" si="22"/>
        <v>0.28545382116118567</v>
      </c>
      <c r="E113" s="536">
        <f t="shared" si="23"/>
        <v>312.67924638651726</v>
      </c>
      <c r="F113" s="525"/>
      <c r="G113" s="527"/>
      <c r="H113" s="176"/>
      <c r="I113" s="201" t="s">
        <v>240</v>
      </c>
      <c r="J113" s="175">
        <f t="array" ref="J113:K113">LINEST(N95:N96,M95:M96)</f>
        <v>1.3488138659283131</v>
      </c>
      <c r="K113" s="175">
        <v>-30.034963726461172</v>
      </c>
      <c r="L113" s="175"/>
      <c r="N113" s="357">
        <f>J113*I25+K113</f>
        <v>37.405729569954488</v>
      </c>
      <c r="O113"/>
      <c r="P113"/>
      <c r="Q113"/>
      <c r="R113"/>
      <c r="S113"/>
      <c r="T113"/>
      <c r="U113"/>
    </row>
    <row r="114" spans="2:21" ht="15" thickBot="1" x14ac:dyDescent="0.35">
      <c r="B114" s="538" t="s">
        <v>408</v>
      </c>
      <c r="C114" s="539">
        <f t="shared" si="21"/>
        <v>-3.6164845391165608E-2</v>
      </c>
      <c r="D114" s="540">
        <f t="shared" si="22"/>
        <v>-0.45624447502076582</v>
      </c>
      <c r="E114" s="539">
        <f t="shared" si="23"/>
        <v>140.02800909301118</v>
      </c>
      <c r="F114" s="541"/>
      <c r="G114" s="542"/>
      <c r="H114" s="176"/>
      <c r="I114"/>
      <c r="J114"/>
      <c r="K114"/>
      <c r="L114"/>
      <c r="N114"/>
      <c r="O114"/>
      <c r="P114"/>
      <c r="Q114"/>
      <c r="R114"/>
      <c r="S114"/>
      <c r="T114"/>
      <c r="U114"/>
    </row>
    <row r="115" spans="2:21" x14ac:dyDescent="0.3">
      <c r="B115"/>
      <c r="H115" s="176"/>
      <c r="I115" s="121" t="s">
        <v>285</v>
      </c>
      <c r="N115"/>
      <c r="O115"/>
      <c r="P115"/>
      <c r="Q115"/>
      <c r="R115"/>
      <c r="S115"/>
      <c r="T115"/>
      <c r="U115"/>
    </row>
    <row r="116" spans="2:21" x14ac:dyDescent="0.3">
      <c r="B116"/>
      <c r="H116" s="176"/>
      <c r="I116" s="121" t="s">
        <v>283</v>
      </c>
      <c r="J116" s="211">
        <f>IF(N64&gt;8,AVERAGE(N106,N113,N113),AVERAGE(N105,N112,N112))</f>
        <v>49.722015378100927</v>
      </c>
      <c r="K116" s="174" t="s">
        <v>3</v>
      </c>
      <c r="M116"/>
      <c r="N116"/>
      <c r="O116"/>
      <c r="P116"/>
      <c r="Q116"/>
      <c r="R116"/>
      <c r="S116"/>
      <c r="T116"/>
      <c r="U116"/>
    </row>
    <row r="117" spans="2:21" x14ac:dyDescent="0.3">
      <c r="B117"/>
      <c r="H117" s="176"/>
      <c r="I117" s="121" t="s">
        <v>341</v>
      </c>
      <c r="J117" s="195">
        <f>IF(N134,J116,"-")</f>
        <v>49.722015378100927</v>
      </c>
      <c r="K117" s="121" t="s">
        <v>3</v>
      </c>
      <c r="M117"/>
      <c r="N117"/>
      <c r="O117"/>
      <c r="P117"/>
      <c r="Q117"/>
      <c r="R117"/>
      <c r="S117"/>
      <c r="T117"/>
      <c r="U117"/>
    </row>
    <row r="118" spans="2:21" x14ac:dyDescent="0.3">
      <c r="B118"/>
      <c r="H118" s="176"/>
      <c r="O118"/>
      <c r="P118"/>
      <c r="Q118"/>
      <c r="R118"/>
      <c r="S118"/>
      <c r="T118"/>
      <c r="U118"/>
    </row>
    <row r="119" spans="2:21" ht="15.75" x14ac:dyDescent="0.3">
      <c r="B119"/>
      <c r="H119" s="176"/>
      <c r="I119" s="5" t="s">
        <v>376</v>
      </c>
      <c r="J119"/>
      <c r="K119"/>
      <c r="L119"/>
      <c r="M119"/>
      <c r="N119"/>
      <c r="O119"/>
      <c r="P119"/>
      <c r="Q119"/>
      <c r="R119"/>
      <c r="S119"/>
      <c r="T119"/>
      <c r="U119"/>
    </row>
    <row r="120" spans="2:21" x14ac:dyDescent="0.3">
      <c r="B120"/>
      <c r="H120" s="176"/>
      <c r="I120" s="121" t="s">
        <v>371</v>
      </c>
      <c r="K120" s="176"/>
      <c r="M120" s="176"/>
      <c r="O120"/>
      <c r="P120"/>
      <c r="Q120"/>
      <c r="R120"/>
      <c r="S120"/>
      <c r="T120"/>
      <c r="U120"/>
    </row>
    <row r="121" spans="2:21" x14ac:dyDescent="0.3">
      <c r="B121"/>
      <c r="H121" s="176"/>
      <c r="K121" s="176"/>
      <c r="M121" s="176"/>
      <c r="Q121"/>
      <c r="R121"/>
      <c r="S121"/>
      <c r="T121"/>
      <c r="U121"/>
    </row>
    <row r="122" spans="2:21" x14ac:dyDescent="0.3">
      <c r="B122"/>
      <c r="H122" s="176"/>
      <c r="I122" s="121" t="s">
        <v>372</v>
      </c>
      <c r="K122" s="176"/>
      <c r="M122" s="176"/>
      <c r="Q122"/>
      <c r="R122"/>
      <c r="S122"/>
      <c r="T122"/>
      <c r="U122"/>
    </row>
    <row r="123" spans="2:21" x14ac:dyDescent="0.3">
      <c r="B123"/>
      <c r="H123" s="176"/>
      <c r="J123" s="209" t="s">
        <v>10</v>
      </c>
      <c r="K123" s="209" t="s">
        <v>11</v>
      </c>
      <c r="M123" s="121" t="s">
        <v>370</v>
      </c>
      <c r="Q123"/>
      <c r="R123"/>
      <c r="S123"/>
      <c r="T123"/>
      <c r="U123"/>
    </row>
    <row r="124" spans="2:21" x14ac:dyDescent="0.3">
      <c r="B124"/>
      <c r="H124" s="176"/>
      <c r="I124" s="121" t="s">
        <v>4</v>
      </c>
      <c r="J124" s="200">
        <f>O45</f>
        <v>145.65364378431303</v>
      </c>
      <c r="K124" s="200">
        <f>P45</f>
        <v>150.33293613695827</v>
      </c>
      <c r="M124" s="371">
        <f>J124/I24-1</f>
        <v>0.73397194981325042</v>
      </c>
      <c r="Q124"/>
      <c r="R124"/>
      <c r="S124"/>
      <c r="T124"/>
      <c r="U124"/>
    </row>
    <row r="125" spans="2:21" x14ac:dyDescent="0.3">
      <c r="B125"/>
      <c r="H125" s="176"/>
      <c r="J125" s="209"/>
      <c r="K125" s="209"/>
      <c r="M125" s="209">
        <f>IF(N134,M124,"-")</f>
        <v>0.73397194981325042</v>
      </c>
      <c r="Q125"/>
      <c r="R125"/>
      <c r="S125"/>
      <c r="T125"/>
      <c r="U125"/>
    </row>
    <row r="126" spans="2:21" x14ac:dyDescent="0.3">
      <c r="B126"/>
      <c r="H126" s="176"/>
      <c r="O126"/>
      <c r="P126"/>
      <c r="Q126"/>
      <c r="S126"/>
      <c r="T126"/>
      <c r="U126"/>
    </row>
    <row r="127" spans="2:21" ht="15.75" x14ac:dyDescent="0.3">
      <c r="B127"/>
      <c r="H127" s="176"/>
      <c r="I127" s="5" t="s">
        <v>385</v>
      </c>
      <c r="O127"/>
      <c r="P127"/>
      <c r="Q127"/>
      <c r="R127"/>
      <c r="S127"/>
      <c r="T127"/>
      <c r="U127"/>
    </row>
    <row r="128" spans="2:21" x14ac:dyDescent="0.3">
      <c r="B128"/>
      <c r="H128" s="176"/>
      <c r="I128" s="187" t="s">
        <v>251</v>
      </c>
      <c r="J128" s="570" t="s">
        <v>257</v>
      </c>
      <c r="K128" s="570"/>
      <c r="L128" s="570"/>
      <c r="M128" s="570"/>
      <c r="N128" s="187" t="b">
        <f>IF(I24&gt;0,TRUE,FALSE)</f>
        <v>1</v>
      </c>
      <c r="O128"/>
      <c r="P128"/>
      <c r="Q128"/>
      <c r="R128"/>
      <c r="S128"/>
      <c r="T128"/>
      <c r="U128"/>
    </row>
    <row r="129" spans="2:21" x14ac:dyDescent="0.3">
      <c r="B129"/>
      <c r="H129" s="176"/>
      <c r="I129" s="187" t="s">
        <v>252</v>
      </c>
      <c r="J129" s="570" t="s">
        <v>258</v>
      </c>
      <c r="K129" s="570"/>
      <c r="L129" s="570"/>
      <c r="M129" s="570"/>
      <c r="N129" s="187" t="b">
        <f>IF(OR(I24&gt;O45,ISERROR(O45)),FALSE,TRUE)</f>
        <v>1</v>
      </c>
      <c r="O129"/>
      <c r="P129"/>
      <c r="Q129"/>
      <c r="R129"/>
      <c r="S129"/>
      <c r="T129"/>
      <c r="U129"/>
    </row>
    <row r="130" spans="2:21" x14ac:dyDescent="0.3">
      <c r="B130"/>
      <c r="H130" s="176"/>
      <c r="I130" s="187" t="s">
        <v>253</v>
      </c>
      <c r="J130" s="570" t="s">
        <v>259</v>
      </c>
      <c r="K130" s="570"/>
      <c r="L130" s="570"/>
      <c r="M130" s="570"/>
      <c r="N130" s="187" t="b">
        <f>IF(I24&lt;O53,FALSE,TRUE)</f>
        <v>1</v>
      </c>
      <c r="O130"/>
      <c r="P130"/>
      <c r="Q130"/>
      <c r="R130"/>
      <c r="S130"/>
      <c r="T130"/>
      <c r="U130"/>
    </row>
    <row r="131" spans="2:21" x14ac:dyDescent="0.3">
      <c r="B131"/>
      <c r="H131" s="176"/>
      <c r="I131" s="187" t="s">
        <v>254</v>
      </c>
      <c r="J131" s="570" t="s">
        <v>256</v>
      </c>
      <c r="K131" s="570"/>
      <c r="L131" s="570"/>
      <c r="M131" s="570"/>
      <c r="N131" s="187" t="b">
        <f>IF(I25&gt;0,TRUE,FALSE)</f>
        <v>1</v>
      </c>
      <c r="O131"/>
      <c r="P131"/>
      <c r="Q131"/>
      <c r="R131"/>
      <c r="S131"/>
      <c r="T131"/>
      <c r="U131"/>
    </row>
    <row r="132" spans="2:21" x14ac:dyDescent="0.3">
      <c r="B132"/>
      <c r="H132" s="176"/>
      <c r="I132" s="187" t="s">
        <v>255</v>
      </c>
      <c r="J132" s="570" t="s">
        <v>264</v>
      </c>
      <c r="K132" s="570"/>
      <c r="L132" s="570"/>
      <c r="M132" s="570"/>
      <c r="N132" s="187" t="b">
        <f>IF(J33&lt;J78,TRUE,FALSE)</f>
        <v>1</v>
      </c>
      <c r="O132"/>
      <c r="P132"/>
      <c r="Q132"/>
      <c r="R132"/>
      <c r="S132"/>
      <c r="T132"/>
      <c r="U132"/>
    </row>
    <row r="133" spans="2:21" ht="15" thickBot="1" x14ac:dyDescent="0.35">
      <c r="B133"/>
      <c r="H133" s="176"/>
      <c r="I133" s="207" t="s">
        <v>269</v>
      </c>
      <c r="J133" s="569" t="s">
        <v>270</v>
      </c>
      <c r="K133" s="569"/>
      <c r="L133" s="569"/>
      <c r="M133" s="569"/>
      <c r="N133" s="207" t="b">
        <f>IF(J30&gt;O78,TRUE,FALSE)</f>
        <v>1</v>
      </c>
      <c r="O133"/>
      <c r="P133"/>
      <c r="Q133"/>
      <c r="R133"/>
      <c r="S133"/>
      <c r="T133"/>
      <c r="U133"/>
    </row>
    <row r="134" spans="2:21" x14ac:dyDescent="0.3">
      <c r="B134"/>
      <c r="H134" s="176"/>
      <c r="I134" s="202" t="s">
        <v>262</v>
      </c>
      <c r="J134" s="568" t="s">
        <v>263</v>
      </c>
      <c r="K134" s="568"/>
      <c r="L134" s="568"/>
      <c r="M134" s="568"/>
      <c r="N134" s="202" t="b">
        <f>IF(AND(N128,N129,N130,N131,N132,N133),TRUE,FALSE)</f>
        <v>1</v>
      </c>
      <c r="O134"/>
      <c r="P134"/>
      <c r="Q134"/>
      <c r="R134"/>
      <c r="S134"/>
      <c r="T134"/>
      <c r="U134"/>
    </row>
    <row r="135" spans="2:21" x14ac:dyDescent="0.3">
      <c r="B135"/>
      <c r="H135" s="176"/>
      <c r="O135"/>
      <c r="P135"/>
      <c r="Q135"/>
      <c r="R135"/>
      <c r="S135"/>
      <c r="T135"/>
      <c r="U135"/>
    </row>
    <row r="136" spans="2:21" x14ac:dyDescent="0.3">
      <c r="B136"/>
      <c r="C136"/>
      <c r="D136"/>
      <c r="E136"/>
      <c r="F136"/>
      <c r="G136"/>
      <c r="H136"/>
      <c r="O136"/>
      <c r="P136"/>
      <c r="Q136"/>
      <c r="R136"/>
      <c r="S136"/>
      <c r="T136"/>
      <c r="U136"/>
    </row>
    <row r="137" spans="2:21" x14ac:dyDescent="0.3">
      <c r="B137"/>
      <c r="C137"/>
      <c r="D137"/>
      <c r="E137"/>
      <c r="F137"/>
      <c r="G137"/>
      <c r="H137"/>
      <c r="O137"/>
      <c r="P137"/>
      <c r="Q137"/>
      <c r="R137"/>
      <c r="S137"/>
      <c r="T137"/>
      <c r="U137"/>
    </row>
    <row r="138" spans="2:21" x14ac:dyDescent="0.3">
      <c r="B138"/>
      <c r="C138"/>
      <c r="D138"/>
      <c r="E138"/>
      <c r="F138"/>
      <c r="G138"/>
      <c r="H138"/>
      <c r="O138"/>
      <c r="P138"/>
      <c r="Q138"/>
      <c r="R138"/>
      <c r="S138"/>
      <c r="T138"/>
      <c r="U138"/>
    </row>
    <row r="139" spans="2:21" x14ac:dyDescent="0.3">
      <c r="B139"/>
      <c r="R139"/>
      <c r="S139"/>
      <c r="T139"/>
      <c r="U139"/>
    </row>
  </sheetData>
  <mergeCells count="7">
    <mergeCell ref="J134:M134"/>
    <mergeCell ref="J133:M133"/>
    <mergeCell ref="J128:M128"/>
    <mergeCell ref="J129:M129"/>
    <mergeCell ref="J130:M130"/>
    <mergeCell ref="J131:M131"/>
    <mergeCell ref="J132:M132"/>
  </mergeCells>
  <phoneticPr fontId="32" type="noConversion"/>
  <conditionalFormatting sqref="N128:N134">
    <cfRule type="containsText" dxfId="5" priority="1" operator="containsText" text="epä">
      <formula>NOT(ISERROR(SEARCH("epä",N128)))</formula>
    </cfRule>
    <cfRule type="containsText" dxfId="4" priority="2" operator="containsText" text="tosi">
      <formula>NOT(ISERROR(SEARCH("tosi",N128)))</formula>
    </cfRule>
  </conditionalFormatting>
  <pageMargins left="0.7" right="0.7" top="0.75" bottom="0.75" header="0.3" footer="0.3"/>
  <pageSetup paperSize="9" orientation="portrait" r:id="rId1"/>
  <ignoredErrors>
    <ignoredError sqref="J45:J46 J47 AE9 AF8 AF10 AH10 AH8 AG9 AI9 AK9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81CDC-7C29-480B-9A37-87448A1428D8}">
  <dimension ref="B1:AN140"/>
  <sheetViews>
    <sheetView topLeftCell="A89" zoomScale="115" zoomScaleNormal="115" workbookViewId="0">
      <selection activeCell="B26" sqref="B26"/>
    </sheetView>
  </sheetViews>
  <sheetFormatPr defaultColWidth="9.140625" defaultRowHeight="14.25" x14ac:dyDescent="0.3"/>
  <cols>
    <col min="1" max="1" width="9.140625" style="121"/>
    <col min="2" max="2" width="9.140625" style="121" customWidth="1"/>
    <col min="3" max="4" width="9.140625" style="121"/>
    <col min="5" max="5" width="9.140625" style="176"/>
    <col min="6" max="6" width="9.140625" style="121"/>
    <col min="7" max="7" width="9.140625" style="176"/>
    <col min="8" max="8" width="9.140625" style="121"/>
    <col min="9" max="10" width="8.28515625" style="121" customWidth="1"/>
    <col min="11" max="11" width="8.7109375" style="121" customWidth="1"/>
    <col min="12" max="12" width="10" style="121" customWidth="1"/>
    <col min="13" max="16384" width="9.140625" style="121"/>
  </cols>
  <sheetData>
    <row r="1" spans="2:40" x14ac:dyDescent="0.3">
      <c r="H1" s="176"/>
    </row>
    <row r="2" spans="2:40" x14ac:dyDescent="0.3">
      <c r="B2" s="451" t="s">
        <v>418</v>
      </c>
      <c r="C2" s="452" t="s">
        <v>420</v>
      </c>
      <c r="H2" s="176"/>
    </row>
    <row r="3" spans="2:40" x14ac:dyDescent="0.3">
      <c r="H3" s="176"/>
      <c r="AE3" s="121" t="s">
        <v>377</v>
      </c>
    </row>
    <row r="4" spans="2:40" ht="16.5" thickBot="1" x14ac:dyDescent="0.35">
      <c r="B4" s="6" t="s">
        <v>219</v>
      </c>
      <c r="D4" s="176"/>
      <c r="E4" s="121"/>
      <c r="F4" s="176"/>
      <c r="H4" s="176"/>
      <c r="I4" s="407" t="s">
        <v>220</v>
      </c>
    </row>
    <row r="5" spans="2:40" x14ac:dyDescent="0.3">
      <c r="D5" s="176"/>
      <c r="E5" s="121"/>
      <c r="F5" s="176"/>
      <c r="H5" s="176"/>
      <c r="I5" s="161" t="s">
        <v>222</v>
      </c>
      <c r="AE5" s="388" t="str">
        <f>B8</f>
        <v>Poisto 10 V</v>
      </c>
      <c r="AF5" s="389"/>
      <c r="AG5" s="388" t="str">
        <f>B28</f>
        <v>Poisto 8 V</v>
      </c>
      <c r="AH5" s="389"/>
      <c r="AI5" s="388" t="str">
        <f>B44</f>
        <v>Poisto 6 V</v>
      </c>
      <c r="AJ5" s="389"/>
      <c r="AK5" s="388" t="str">
        <f>B57</f>
        <v>Poisto 4 V</v>
      </c>
      <c r="AL5" s="389"/>
      <c r="AM5" s="388" t="str">
        <f>B66</f>
        <v>Poisto 2 V</v>
      </c>
      <c r="AN5" s="389"/>
    </row>
    <row r="6" spans="2:40" x14ac:dyDescent="0.3">
      <c r="B6" s="174" t="s">
        <v>2</v>
      </c>
      <c r="D6" s="176"/>
      <c r="E6" s="121"/>
      <c r="F6" s="176"/>
      <c r="H6" s="176"/>
      <c r="I6" s="161" t="s">
        <v>245</v>
      </c>
      <c r="AE6" s="390" t="s">
        <v>301</v>
      </c>
      <c r="AF6" s="391" t="s">
        <v>282</v>
      </c>
      <c r="AG6" s="390" t="s">
        <v>301</v>
      </c>
      <c r="AH6" s="391" t="s">
        <v>282</v>
      </c>
      <c r="AI6" s="390" t="s">
        <v>301</v>
      </c>
      <c r="AJ6" s="391" t="s">
        <v>282</v>
      </c>
      <c r="AK6" s="390" t="s">
        <v>301</v>
      </c>
      <c r="AL6" s="391" t="s">
        <v>282</v>
      </c>
      <c r="AM6" s="390" t="s">
        <v>301</v>
      </c>
      <c r="AN6" s="391" t="s">
        <v>282</v>
      </c>
    </row>
    <row r="7" spans="2:40" x14ac:dyDescent="0.3">
      <c r="D7" s="176"/>
      <c r="F7" s="176" t="s">
        <v>476</v>
      </c>
      <c r="H7" s="176"/>
      <c r="AD7" s="121" t="s">
        <v>186</v>
      </c>
      <c r="AE7" s="392">
        <v>167.5</v>
      </c>
      <c r="AF7" s="393">
        <f>$J$9*AE7^2+$K$9*AE7+$L$9</f>
        <v>1.244738074246925</v>
      </c>
      <c r="AG7" s="392">
        <v>141.6</v>
      </c>
      <c r="AH7" s="393">
        <f>$J$10*AG7^2+$K$10*AG7+$L$10</f>
        <v>0.88547404721691692</v>
      </c>
      <c r="AI7" s="392">
        <v>101.8</v>
      </c>
      <c r="AJ7" s="393">
        <f>$J$11*AI7^2+$K$11*AI7+$L$11</f>
        <v>1.1071270985254955</v>
      </c>
      <c r="AK7" s="392">
        <v>64</v>
      </c>
      <c r="AL7" s="393">
        <f>$J$12*AK7^2+$K$12*AK7+$L$12</f>
        <v>0.6775740691473402</v>
      </c>
      <c r="AM7" s="392">
        <v>26.5</v>
      </c>
      <c r="AN7" s="393">
        <f>$J$13*AM7^2+$K$13*AM7+$L$13</f>
        <v>0.96833091683125616</v>
      </c>
    </row>
    <row r="8" spans="2:40" ht="15" thickBot="1" x14ac:dyDescent="0.35">
      <c r="B8" s="174" t="s">
        <v>296</v>
      </c>
      <c r="D8" s="176"/>
      <c r="E8" s="121"/>
      <c r="F8" s="176">
        <f>'SFP ja kokonaisteho'!D4</f>
        <v>6.0520000000000005</v>
      </c>
      <c r="H8" s="176"/>
      <c r="I8" s="178"/>
      <c r="J8" s="179" t="s">
        <v>6</v>
      </c>
      <c r="K8" s="180" t="s">
        <v>7</v>
      </c>
      <c r="L8" s="181" t="s">
        <v>8</v>
      </c>
      <c r="AE8" s="394">
        <f>AVERAGE(AE7,AE9)</f>
        <v>146.875</v>
      </c>
      <c r="AF8" s="393">
        <f>$J$9*AE8^2+$K$9*AE8+$L$9</f>
        <v>193.82588789080341</v>
      </c>
      <c r="AG8" s="394">
        <f>AVERAGE(AG7,AG9)</f>
        <v>122.19999999999999</v>
      </c>
      <c r="AH8" s="393">
        <f>$J$10*AG8^2+$K$10*AG8+$L$10</f>
        <v>163.70627796483774</v>
      </c>
      <c r="AI8" s="394">
        <f>AVERAGE(AI7,AI9)</f>
        <v>85.974999999999994</v>
      </c>
      <c r="AJ8" s="393">
        <f>$J$11*AI8^2+$K$11*AI8+$L$11</f>
        <v>103.97712028914458</v>
      </c>
      <c r="AK8" s="394">
        <f>AVERAGE(AK7,AK9)</f>
        <v>52.5</v>
      </c>
      <c r="AL8" s="393">
        <f>$J$12*AK8^2+$K$12*AK8+$L$12</f>
        <v>49.918115313974027</v>
      </c>
      <c r="AM8" s="394">
        <f>AVERAGE(AM7,AM9)</f>
        <v>21.125</v>
      </c>
      <c r="AN8" s="393">
        <f>$J$13*AM8^2+$K$13*AM8+$L$13</f>
        <v>11.213331811125673</v>
      </c>
    </row>
    <row r="9" spans="2:40" ht="15" thickBot="1" x14ac:dyDescent="0.35">
      <c r="B9" s="379" t="s">
        <v>215</v>
      </c>
      <c r="C9" s="380" t="s">
        <v>216</v>
      </c>
      <c r="D9" s="456" t="s">
        <v>217</v>
      </c>
      <c r="E9" s="458" t="s">
        <v>1</v>
      </c>
      <c r="F9" s="457" t="s">
        <v>383</v>
      </c>
      <c r="H9" s="176"/>
      <c r="I9" s="177" t="s">
        <v>173</v>
      </c>
      <c r="J9" s="182">
        <f>C105</f>
        <v>-2.260979774440294E-2</v>
      </c>
      <c r="K9" s="182">
        <f t="shared" ref="K9:L13" si="0">D105</f>
        <v>-2.2293127039969738</v>
      </c>
      <c r="L9" s="191">
        <f t="shared" si="0"/>
        <v>1009.0007539601449</v>
      </c>
      <c r="AE9" s="394">
        <f>AVERAGE(AE7,AE11)</f>
        <v>126.25</v>
      </c>
      <c r="AF9" s="393">
        <f>$J$9*AE9^2+$K$9*AE9+$L$9</f>
        <v>367.17104572012954</v>
      </c>
      <c r="AG9" s="394">
        <f>AVERAGE(AG7,AG11)</f>
        <v>102.8</v>
      </c>
      <c r="AH9" s="393">
        <f>$J$10*AG9^2+$K$10*AG9+$L$10</f>
        <v>300.45783012527761</v>
      </c>
      <c r="AI9" s="394">
        <f>AVERAGE(AI7,AI11)</f>
        <v>70.150000000000006</v>
      </c>
      <c r="AJ9" s="393">
        <f>$J$11*AI9^2+$K$11*AI9+$L$11</f>
        <v>187.33160014037577</v>
      </c>
      <c r="AK9" s="394">
        <f>AVERAGE(AK7,AK11)</f>
        <v>41</v>
      </c>
      <c r="AL9" s="393">
        <f>$J$12*AK9^2+$K$12*AK9+$L$12</f>
        <v>88.093885294251052</v>
      </c>
      <c r="AM9" s="394">
        <f>AVERAGE(AM7,AM11)</f>
        <v>15.75</v>
      </c>
      <c r="AN9" s="393">
        <f>$J$13*AM9^2+$K$13*AM9+$L$13</f>
        <v>19.174497602455105</v>
      </c>
    </row>
    <row r="10" spans="2:40" x14ac:dyDescent="0.3">
      <c r="B10" s="217">
        <v>165.48060923474731</v>
      </c>
      <c r="C10" s="218">
        <v>8.3332389451078441</v>
      </c>
      <c r="D10" s="375">
        <v>185.43046745490153</v>
      </c>
      <c r="E10" s="455">
        <f>D10/B10</f>
        <v>1.1205570750096392</v>
      </c>
      <c r="F10" s="454">
        <f t="shared" ref="F10:F25" si="1">D10-$F$8</f>
        <v>179.37846745490154</v>
      </c>
      <c r="H10" s="176"/>
      <c r="I10" s="175" t="s">
        <v>221</v>
      </c>
      <c r="J10" s="182">
        <f t="shared" ref="J10:J13" si="2">C106</f>
        <v>-3.4633398550829989E-2</v>
      </c>
      <c r="K10" s="182">
        <f t="shared" si="0"/>
        <v>0.7434655935016965</v>
      </c>
      <c r="L10" s="191">
        <f t="shared" si="0"/>
        <v>590.02978165470643</v>
      </c>
      <c r="AE10" s="394">
        <f>AVERAGE(AE9,AE11)</f>
        <v>105.625</v>
      </c>
      <c r="AF10" s="393">
        <f>$J$9*AE10^2+$K$9*AE10+$L$9</f>
        <v>521.28021156222542</v>
      </c>
      <c r="AG10" s="394">
        <f>AVERAGE(AG9,AG11)</f>
        <v>83.4</v>
      </c>
      <c r="AH10" s="393">
        <f>$J$10*AG10^2+$K$10*AG10+$L$10</f>
        <v>411.14013052853682</v>
      </c>
      <c r="AI10" s="394">
        <f>AVERAGE(AI9,AI11)</f>
        <v>54.325000000000003</v>
      </c>
      <c r="AJ10" s="393">
        <f>$J$11*AI10^2+$K$11*AI10+$L$11</f>
        <v>251.17056665221935</v>
      </c>
      <c r="AK10" s="394">
        <f>AVERAGE(AK9,AK11)</f>
        <v>29.5</v>
      </c>
      <c r="AL10" s="393">
        <f>$J$12*AK10^2+$K$12*AK10+$L$12</f>
        <v>115.20488400997843</v>
      </c>
      <c r="AM10" s="394">
        <f>AVERAGE(AM9,AM11)</f>
        <v>10.375</v>
      </c>
      <c r="AN10" s="393">
        <f>$J$13*AM10^2+$K$13*AM10+$L$13</f>
        <v>24.851828290819551</v>
      </c>
    </row>
    <row r="11" spans="2:40" ht="15" thickBot="1" x14ac:dyDescent="0.35">
      <c r="B11" s="222">
        <v>161.46427556101696</v>
      </c>
      <c r="C11" s="218">
        <v>60.281619042016544</v>
      </c>
      <c r="D11" s="375">
        <v>185.35418403072694</v>
      </c>
      <c r="E11" s="377">
        <f t="shared" ref="E11:E25" si="3">D11/B11</f>
        <v>1.1479578587071544</v>
      </c>
      <c r="F11" s="454">
        <f t="shared" si="1"/>
        <v>179.30218403072695</v>
      </c>
      <c r="H11" s="176"/>
      <c r="I11" s="175" t="s">
        <v>172</v>
      </c>
      <c r="J11" s="182">
        <f t="shared" si="2"/>
        <v>-3.896391134148975E-2</v>
      </c>
      <c r="K11" s="182">
        <f t="shared" si="0"/>
        <v>0.81597494879158583</v>
      </c>
      <c r="L11" s="191">
        <f t="shared" si="0"/>
        <v>321.83324188212231</v>
      </c>
      <c r="AD11" s="121" t="s">
        <v>378</v>
      </c>
      <c r="AE11" s="395">
        <v>85</v>
      </c>
      <c r="AF11" s="396">
        <f>$J$9*AE11^2+$K$9*AE11+$L$9</f>
        <v>656.15338541709093</v>
      </c>
      <c r="AG11" s="395">
        <v>64</v>
      </c>
      <c r="AH11" s="396">
        <f>$J$10*AG11^2+$K$10*AG11+$L$10</f>
        <v>495.75317917461535</v>
      </c>
      <c r="AI11" s="395">
        <v>38.5</v>
      </c>
      <c r="AJ11" s="396">
        <f>$J$11*AI11^2+$K$11*AI11+$L$11</f>
        <v>295.49401982467521</v>
      </c>
      <c r="AK11" s="395">
        <v>18</v>
      </c>
      <c r="AL11" s="396">
        <f>$J$12*AK11^2+$K$12*AK11+$L$12</f>
        <v>131.25111146115614</v>
      </c>
      <c r="AM11" s="395">
        <v>5</v>
      </c>
      <c r="AN11" s="396">
        <f>$J$13*AM11^2+$K$13*AM11+$L$13</f>
        <v>28.245323876219011</v>
      </c>
    </row>
    <row r="12" spans="2:40" x14ac:dyDescent="0.3">
      <c r="B12" s="222">
        <v>155.43355513090376</v>
      </c>
      <c r="C12" s="218">
        <v>105.2580533546882</v>
      </c>
      <c r="D12" s="375">
        <v>185.40029163661546</v>
      </c>
      <c r="E12" s="377">
        <f t="shared" si="3"/>
        <v>1.1927945126164952</v>
      </c>
      <c r="F12" s="454">
        <f t="shared" si="1"/>
        <v>179.34829163661547</v>
      </c>
      <c r="H12" s="176"/>
      <c r="I12" s="175" t="s">
        <v>171</v>
      </c>
      <c r="J12" s="182">
        <f t="shared" si="2"/>
        <v>-4.1832783608883366E-2</v>
      </c>
      <c r="K12" s="182">
        <f t="shared" si="0"/>
        <v>0.59173309523259277</v>
      </c>
      <c r="L12" s="191">
        <f t="shared" si="0"/>
        <v>134.15373763624768</v>
      </c>
    </row>
    <row r="13" spans="2:40" x14ac:dyDescent="0.3">
      <c r="B13" s="222">
        <v>151.29243225400154</v>
      </c>
      <c r="C13" s="218">
        <v>162.52919137514681</v>
      </c>
      <c r="D13" s="375">
        <v>184.95875306664863</v>
      </c>
      <c r="E13" s="377">
        <f t="shared" si="3"/>
        <v>1.2225248170782623</v>
      </c>
      <c r="F13" s="454">
        <f t="shared" si="1"/>
        <v>178.90675306664863</v>
      </c>
      <c r="H13" s="176"/>
      <c r="I13" s="175" t="s">
        <v>417</v>
      </c>
      <c r="J13" s="182">
        <f t="shared" si="2"/>
        <v>-3.9525539910697426E-2</v>
      </c>
      <c r="K13" s="182">
        <f t="shared" si="0"/>
        <v>-2.3642839761298655E-2</v>
      </c>
      <c r="L13" s="191">
        <f t="shared" si="0"/>
        <v>29.35167657279294</v>
      </c>
    </row>
    <row r="14" spans="2:40" x14ac:dyDescent="0.3">
      <c r="B14" s="222">
        <v>146.54204286066661</v>
      </c>
      <c r="C14" s="218">
        <v>210.31375404732603</v>
      </c>
      <c r="D14" s="375">
        <v>185.16319908675652</v>
      </c>
      <c r="E14" s="377">
        <f t="shared" si="3"/>
        <v>1.2635500056650038</v>
      </c>
      <c r="F14" s="454">
        <f t="shared" si="1"/>
        <v>179.11119908675653</v>
      </c>
      <c r="H14" s="176"/>
      <c r="I14" s="175"/>
      <c r="J14" s="183"/>
      <c r="K14" s="183"/>
      <c r="L14" s="192"/>
      <c r="AE14" s="121" t="s">
        <v>300</v>
      </c>
      <c r="AG14" s="176"/>
    </row>
    <row r="15" spans="2:40" x14ac:dyDescent="0.3">
      <c r="B15" s="222">
        <v>141.05700793924174</v>
      </c>
      <c r="C15" s="218">
        <v>259.59449353451407</v>
      </c>
      <c r="D15" s="375">
        <v>185.03449463851959</v>
      </c>
      <c r="E15" s="377">
        <f t="shared" si="3"/>
        <v>1.3117710161427818</v>
      </c>
      <c r="F15" s="454">
        <f t="shared" si="1"/>
        <v>178.9824946385196</v>
      </c>
      <c r="H15" s="176"/>
      <c r="I15" s="175"/>
      <c r="J15" s="183"/>
      <c r="K15" s="183"/>
      <c r="L15" s="192"/>
      <c r="AE15" s="121" t="s">
        <v>173</v>
      </c>
      <c r="AF15" s="160">
        <f>AE11</f>
        <v>85</v>
      </c>
      <c r="AG15" s="160">
        <f>AF11</f>
        <v>656.15338541709093</v>
      </c>
    </row>
    <row r="16" spans="2:40" x14ac:dyDescent="0.3">
      <c r="B16" s="222">
        <v>135.2373441159836</v>
      </c>
      <c r="C16" s="218">
        <v>307.43668303913057</v>
      </c>
      <c r="D16" s="375">
        <v>184.35047281220702</v>
      </c>
      <c r="E16" s="377">
        <f t="shared" si="3"/>
        <v>1.363162475699778</v>
      </c>
      <c r="F16" s="454">
        <f t="shared" si="1"/>
        <v>178.29847281220702</v>
      </c>
      <c r="H16" s="176"/>
      <c r="AE16" s="121" t="s">
        <v>221</v>
      </c>
      <c r="AF16" s="160">
        <f>AG11</f>
        <v>64</v>
      </c>
      <c r="AG16" s="160">
        <f>AH11</f>
        <v>495.75317917461535</v>
      </c>
    </row>
    <row r="17" spans="2:33" x14ac:dyDescent="0.3">
      <c r="B17" s="222">
        <v>124.36313379219968</v>
      </c>
      <c r="C17" s="218">
        <v>369.82267380939049</v>
      </c>
      <c r="D17" s="375">
        <v>184.72622167686714</v>
      </c>
      <c r="E17" s="377">
        <f t="shared" si="3"/>
        <v>1.4853776681562971</v>
      </c>
      <c r="F17" s="454">
        <f t="shared" si="1"/>
        <v>178.67422167686715</v>
      </c>
      <c r="H17" s="176"/>
      <c r="AE17" s="121" t="s">
        <v>172</v>
      </c>
      <c r="AF17" s="160">
        <f>AI11</f>
        <v>38.5</v>
      </c>
      <c r="AG17" s="160">
        <f>AJ11</f>
        <v>295.49401982467521</v>
      </c>
    </row>
    <row r="18" spans="2:33" ht="15.75" x14ac:dyDescent="0.3">
      <c r="B18" s="222">
        <v>118.89862849939811</v>
      </c>
      <c r="C18" s="218">
        <v>415.41831777235154</v>
      </c>
      <c r="D18" s="375">
        <v>184.69175058423718</v>
      </c>
      <c r="E18" s="377">
        <f t="shared" si="3"/>
        <v>1.5533547603971911</v>
      </c>
      <c r="F18" s="454">
        <f t="shared" si="1"/>
        <v>178.63975058423719</v>
      </c>
      <c r="H18" s="176"/>
      <c r="I18" s="407" t="s">
        <v>265</v>
      </c>
      <c r="AE18" s="121" t="s">
        <v>171</v>
      </c>
      <c r="AF18" s="160">
        <f>AK11</f>
        <v>18</v>
      </c>
      <c r="AG18" s="160">
        <f>AL11+10</f>
        <v>141.25111146115614</v>
      </c>
    </row>
    <row r="19" spans="2:33" ht="15.75" x14ac:dyDescent="0.3">
      <c r="B19" s="222">
        <v>112.79325804407318</v>
      </c>
      <c r="C19" s="218">
        <v>462.64524725663728</v>
      </c>
      <c r="D19" s="375">
        <v>184.43435986514044</v>
      </c>
      <c r="E19" s="377">
        <f t="shared" si="3"/>
        <v>1.6351541134938579</v>
      </c>
      <c r="F19" s="454">
        <f t="shared" si="1"/>
        <v>178.38235986514044</v>
      </c>
      <c r="H19" s="176"/>
      <c r="I19" s="407"/>
      <c r="AE19" s="121" t="s">
        <v>170</v>
      </c>
      <c r="AF19" s="160">
        <f>AM11+2</f>
        <v>7</v>
      </c>
      <c r="AG19" s="160">
        <f>AN11+12</f>
        <v>40.245323876219011</v>
      </c>
    </row>
    <row r="20" spans="2:33" ht="15.75" x14ac:dyDescent="0.3">
      <c r="B20" s="222">
        <v>105.63204900910536</v>
      </c>
      <c r="C20" s="218">
        <v>515.36791085048742</v>
      </c>
      <c r="D20" s="375">
        <v>184.88008598794224</v>
      </c>
      <c r="E20" s="377">
        <f t="shared" si="3"/>
        <v>1.7502272058739086</v>
      </c>
      <c r="F20" s="454">
        <f t="shared" si="1"/>
        <v>178.82808598794225</v>
      </c>
      <c r="H20" s="176"/>
      <c r="I20" s="407"/>
      <c r="AF20" s="160"/>
      <c r="AG20" s="160"/>
    </row>
    <row r="21" spans="2:33" ht="15.75" x14ac:dyDescent="0.3">
      <c r="B21" s="222">
        <v>99.248952954966143</v>
      </c>
      <c r="C21" s="218">
        <v>565.57947372537251</v>
      </c>
      <c r="D21" s="375">
        <v>185.73536971676913</v>
      </c>
      <c r="E21" s="377">
        <f t="shared" si="3"/>
        <v>1.8714088580969301</v>
      </c>
      <c r="F21" s="454">
        <f t="shared" si="1"/>
        <v>179.68336971676914</v>
      </c>
      <c r="H21" s="176"/>
      <c r="I21" s="407"/>
      <c r="AF21" s="160"/>
      <c r="AG21" s="160"/>
    </row>
    <row r="22" spans="2:33" x14ac:dyDescent="0.3">
      <c r="B22" s="222">
        <v>90.899153974165245</v>
      </c>
      <c r="C22" s="218">
        <v>619.09339875926935</v>
      </c>
      <c r="D22" s="375">
        <v>185.71108444656514</v>
      </c>
      <c r="E22" s="377">
        <f t="shared" si="3"/>
        <v>2.0430452465965385</v>
      </c>
      <c r="F22" s="454">
        <f t="shared" si="1"/>
        <v>179.65908444656515</v>
      </c>
      <c r="H22" s="176"/>
      <c r="I22" s="184" t="s">
        <v>224</v>
      </c>
    </row>
    <row r="23" spans="2:33" x14ac:dyDescent="0.3">
      <c r="B23" s="222">
        <v>81.627542111677769</v>
      </c>
      <c r="C23" s="218">
        <v>678.80835432356696</v>
      </c>
      <c r="D23" s="375">
        <v>185.61880496330497</v>
      </c>
      <c r="E23" s="377">
        <f t="shared" si="3"/>
        <v>2.2739727322593244</v>
      </c>
      <c r="F23" s="454">
        <f t="shared" si="1"/>
        <v>179.56680496330497</v>
      </c>
      <c r="H23" s="176"/>
      <c r="I23" s="11">
        <f>Tulostus!L36</f>
        <v>84</v>
      </c>
      <c r="J23" s="174" t="s">
        <v>223</v>
      </c>
    </row>
    <row r="24" spans="2:33" x14ac:dyDescent="0.3">
      <c r="B24" s="426">
        <v>75.692306892488446</v>
      </c>
      <c r="C24" s="427">
        <v>714.24155253882213</v>
      </c>
      <c r="D24" s="398">
        <v>184.66111779296847</v>
      </c>
      <c r="E24" s="377">
        <f t="shared" si="3"/>
        <v>2.4396286145071087</v>
      </c>
      <c r="F24" s="454">
        <f t="shared" si="1"/>
        <v>178.60911779296848</v>
      </c>
      <c r="H24" s="176"/>
      <c r="I24" s="11">
        <f>Tulostus!L37</f>
        <v>50</v>
      </c>
      <c r="J24" s="174" t="s">
        <v>11</v>
      </c>
    </row>
    <row r="25" spans="2:33" ht="15" thickBot="1" x14ac:dyDescent="0.35">
      <c r="B25" s="428">
        <v>64.232596702344082</v>
      </c>
      <c r="C25" s="429">
        <v>773.40949694701226</v>
      </c>
      <c r="D25" s="376">
        <v>183.30863365288076</v>
      </c>
      <c r="E25" s="378">
        <f t="shared" si="3"/>
        <v>2.8538256751838769</v>
      </c>
      <c r="F25" s="454">
        <f t="shared" si="1"/>
        <v>177.25663365288077</v>
      </c>
      <c r="H25" s="176"/>
    </row>
    <row r="26" spans="2:33" x14ac:dyDescent="0.3">
      <c r="B26" s="408"/>
      <c r="D26" s="176"/>
      <c r="F26" s="176"/>
      <c r="H26" s="176"/>
      <c r="I26" s="184" t="s">
        <v>225</v>
      </c>
    </row>
    <row r="27" spans="2:33" x14ac:dyDescent="0.3">
      <c r="D27" s="176"/>
      <c r="E27" s="121"/>
      <c r="F27" s="176"/>
      <c r="H27" s="176"/>
      <c r="I27" s="161" t="s">
        <v>222</v>
      </c>
    </row>
    <row r="28" spans="2:33" ht="15" thickBot="1" x14ac:dyDescent="0.35">
      <c r="B28" s="174" t="s">
        <v>297</v>
      </c>
      <c r="D28" s="176"/>
      <c r="F28" s="176"/>
      <c r="H28" s="176"/>
      <c r="I28" s="161" t="s">
        <v>244</v>
      </c>
    </row>
    <row r="29" spans="2:33" ht="15" thickBot="1" x14ac:dyDescent="0.35">
      <c r="B29" s="379" t="s">
        <v>215</v>
      </c>
      <c r="C29" s="380" t="s">
        <v>216</v>
      </c>
      <c r="D29" s="381" t="s">
        <v>217</v>
      </c>
      <c r="E29" s="382" t="s">
        <v>1</v>
      </c>
      <c r="F29" s="406" t="s">
        <v>383</v>
      </c>
      <c r="H29" s="176"/>
      <c r="I29" s="188" t="s">
        <v>229</v>
      </c>
      <c r="J29" s="186">
        <f>I24/I23^2</f>
        <v>7.0861678004535151E-3</v>
      </c>
    </row>
    <row r="30" spans="2:33" x14ac:dyDescent="0.3">
      <c r="B30" s="217">
        <v>140.34311979940352</v>
      </c>
      <c r="C30" s="218">
        <v>9.6040812720355149</v>
      </c>
      <c r="D30" s="375">
        <v>120.54168759874298</v>
      </c>
      <c r="E30" s="455">
        <f>D30/B30</f>
        <v>0.85890699715836938</v>
      </c>
      <c r="F30" s="405">
        <f t="shared" ref="F30:F41" si="4">D30-$F$8</f>
        <v>114.48968759874298</v>
      </c>
      <c r="H30" s="176"/>
      <c r="I30" s="121" t="s">
        <v>379</v>
      </c>
    </row>
    <row r="31" spans="2:33" x14ac:dyDescent="0.3">
      <c r="B31" s="222">
        <v>134.93147376621303</v>
      </c>
      <c r="C31" s="218">
        <v>56.561590147307172</v>
      </c>
      <c r="D31" s="375">
        <v>121.79003841907307</v>
      </c>
      <c r="E31" s="377">
        <f t="shared" ref="E31:E41" si="5">D31/B31</f>
        <v>0.90260659740581162</v>
      </c>
      <c r="F31" s="405">
        <f t="shared" si="4"/>
        <v>115.73803841907306</v>
      </c>
      <c r="H31" s="176"/>
      <c r="I31" s="161" t="s">
        <v>380</v>
      </c>
    </row>
    <row r="32" spans="2:33" x14ac:dyDescent="0.3">
      <c r="B32" s="222">
        <v>129.88142769452622</v>
      </c>
      <c r="C32" s="218">
        <v>104.34907006347532</v>
      </c>
      <c r="D32" s="375">
        <v>123.15049336464217</v>
      </c>
      <c r="E32" s="377">
        <f t="shared" si="5"/>
        <v>0.94817631397065616</v>
      </c>
      <c r="F32" s="405">
        <f t="shared" si="4"/>
        <v>117.09849336464217</v>
      </c>
      <c r="H32" s="176"/>
      <c r="I32" s="188" t="s">
        <v>381</v>
      </c>
      <c r="J32" s="397">
        <f>I24/I23</f>
        <v>0.59523809523809523</v>
      </c>
    </row>
    <row r="33" spans="2:16" x14ac:dyDescent="0.3">
      <c r="B33" s="222">
        <v>123.93107212192999</v>
      </c>
      <c r="C33" s="218">
        <v>155.91491896191133</v>
      </c>
      <c r="D33" s="375">
        <v>123.07319520772464</v>
      </c>
      <c r="E33" s="377">
        <f t="shared" si="5"/>
        <v>0.99307778993986817</v>
      </c>
      <c r="F33" s="405">
        <f t="shared" si="4"/>
        <v>117.02119520772463</v>
      </c>
      <c r="H33" s="176"/>
      <c r="I33" s="430"/>
      <c r="J33" s="430"/>
    </row>
    <row r="34" spans="2:16" x14ac:dyDescent="0.3">
      <c r="B34" s="222">
        <v>117.70556846636556</v>
      </c>
      <c r="C34" s="218">
        <v>205.77862554362156</v>
      </c>
      <c r="D34" s="375">
        <v>123.41342298772055</v>
      </c>
      <c r="E34" s="377">
        <f t="shared" si="5"/>
        <v>1.0484926464883946</v>
      </c>
      <c r="F34" s="405">
        <f t="shared" si="4"/>
        <v>117.36142298772054</v>
      </c>
      <c r="H34" s="176"/>
      <c r="I34" s="430"/>
      <c r="J34" s="430"/>
    </row>
    <row r="35" spans="2:16" x14ac:dyDescent="0.3">
      <c r="B35" s="222">
        <v>107.99931264581946</v>
      </c>
      <c r="C35" s="218">
        <v>258.87814311011357</v>
      </c>
      <c r="D35" s="375">
        <v>123.99520491105559</v>
      </c>
      <c r="E35" s="377">
        <f t="shared" si="5"/>
        <v>1.1481110562036092</v>
      </c>
      <c r="F35" s="405">
        <f t="shared" si="4"/>
        <v>117.94320491105559</v>
      </c>
      <c r="H35" s="176"/>
      <c r="I35" s="430"/>
      <c r="J35" s="430"/>
    </row>
    <row r="36" spans="2:16" ht="13.5" customHeight="1" x14ac:dyDescent="0.3">
      <c r="B36" s="222">
        <v>100.92308706616288</v>
      </c>
      <c r="C36" s="218">
        <v>309.23469671961016</v>
      </c>
      <c r="D36" s="375">
        <v>123.72490199966151</v>
      </c>
      <c r="E36" s="377">
        <f t="shared" si="5"/>
        <v>1.2259325947743778</v>
      </c>
      <c r="F36" s="405">
        <f t="shared" si="4"/>
        <v>117.67290199966151</v>
      </c>
      <c r="H36" s="176"/>
    </row>
    <row r="37" spans="2:16" ht="15.75" x14ac:dyDescent="0.3">
      <c r="B37" s="222">
        <v>92.989358763233597</v>
      </c>
      <c r="C37" s="218">
        <v>358.41789185557275</v>
      </c>
      <c r="D37" s="375">
        <v>122.14904612416618</v>
      </c>
      <c r="E37" s="377">
        <f t="shared" si="5"/>
        <v>1.3135809059096537</v>
      </c>
      <c r="F37" s="405">
        <f t="shared" si="4"/>
        <v>116.09704612416617</v>
      </c>
      <c r="H37" s="176"/>
      <c r="I37" s="407" t="s">
        <v>266</v>
      </c>
    </row>
    <row r="38" spans="2:16" x14ac:dyDescent="0.3">
      <c r="B38" s="222">
        <v>83.523542786750383</v>
      </c>
      <c r="C38" s="218">
        <v>409.4257608415225</v>
      </c>
      <c r="D38" s="375">
        <v>121.12884402561147</v>
      </c>
      <c r="E38" s="377">
        <f t="shared" si="5"/>
        <v>1.4502359452696316</v>
      </c>
      <c r="F38" s="405">
        <f t="shared" si="4"/>
        <v>115.07684402561146</v>
      </c>
      <c r="H38" s="176"/>
      <c r="I38" s="121" t="s">
        <v>230</v>
      </c>
    </row>
    <row r="39" spans="2:16" x14ac:dyDescent="0.3">
      <c r="B39" s="222">
        <v>73.652283129614062</v>
      </c>
      <c r="C39" s="218">
        <v>457.98556876697455</v>
      </c>
      <c r="D39" s="375">
        <v>118.51285977722056</v>
      </c>
      <c r="E39" s="377">
        <f t="shared" si="5"/>
        <v>1.6090860288561644</v>
      </c>
      <c r="F39" s="405">
        <f t="shared" si="4"/>
        <v>112.46085977722055</v>
      </c>
      <c r="H39" s="176"/>
    </row>
    <row r="40" spans="2:16" x14ac:dyDescent="0.3">
      <c r="B40" s="222">
        <v>61.580574668869609</v>
      </c>
      <c r="C40" s="218">
        <v>507.01797591908598</v>
      </c>
      <c r="D40" s="375">
        <v>114.89212475969994</v>
      </c>
      <c r="E40" s="377">
        <f t="shared" si="5"/>
        <v>1.865720243396503</v>
      </c>
      <c r="F40" s="405">
        <f t="shared" si="4"/>
        <v>108.84012475969993</v>
      </c>
      <c r="I40" s="121" t="s">
        <v>226</v>
      </c>
    </row>
    <row r="41" spans="2:16" ht="15" thickBot="1" x14ac:dyDescent="0.35">
      <c r="B41" s="224">
        <v>28.233992641510088</v>
      </c>
      <c r="C41" s="225">
        <v>582.82833324027581</v>
      </c>
      <c r="D41" s="376">
        <v>100.49412607133532</v>
      </c>
      <c r="E41" s="378">
        <f t="shared" si="5"/>
        <v>3.559331028640532</v>
      </c>
      <c r="F41" s="405">
        <f t="shared" si="4"/>
        <v>94.442126071335309</v>
      </c>
      <c r="H41" s="176"/>
    </row>
    <row r="42" spans="2:16" x14ac:dyDescent="0.3">
      <c r="D42" s="383"/>
      <c r="E42" s="121"/>
      <c r="H42" s="176"/>
    </row>
    <row r="43" spans="2:16" x14ac:dyDescent="0.3">
      <c r="D43" s="383"/>
      <c r="F43" s="176"/>
      <c r="H43" s="176"/>
      <c r="M43" s="174" t="s">
        <v>234</v>
      </c>
      <c r="O43" s="174" t="s">
        <v>184</v>
      </c>
      <c r="P43" s="121" t="s">
        <v>235</v>
      </c>
    </row>
    <row r="44" spans="2:16" ht="15" thickBot="1" x14ac:dyDescent="0.35">
      <c r="B44" s="174" t="s">
        <v>298</v>
      </c>
      <c r="D44" s="383"/>
      <c r="F44" s="176"/>
      <c r="H44" s="176"/>
      <c r="I44" s="175" t="s">
        <v>237</v>
      </c>
      <c r="J44" s="175" t="s">
        <v>231</v>
      </c>
      <c r="K44" s="175" t="s">
        <v>232</v>
      </c>
      <c r="L44" s="175" t="s">
        <v>233</v>
      </c>
      <c r="M44" s="175" t="s">
        <v>227</v>
      </c>
      <c r="N44" s="175" t="s">
        <v>228</v>
      </c>
      <c r="O44" s="175" t="s">
        <v>228</v>
      </c>
      <c r="P44" s="175" t="s">
        <v>236</v>
      </c>
    </row>
    <row r="45" spans="2:16" ht="15" thickBot="1" x14ac:dyDescent="0.35">
      <c r="B45" s="379" t="s">
        <v>215</v>
      </c>
      <c r="C45" s="380" t="s">
        <v>216</v>
      </c>
      <c r="D45" s="381" t="s">
        <v>217</v>
      </c>
      <c r="E45" s="382" t="s">
        <v>1</v>
      </c>
      <c r="F45" s="406" t="s">
        <v>383</v>
      </c>
      <c r="H45" s="176"/>
      <c r="I45" s="175">
        <v>10</v>
      </c>
      <c r="J45" s="183">
        <f>J9-$J$29</f>
        <v>-2.9695965544856456E-2</v>
      </c>
      <c r="K45" s="183">
        <f>K9</f>
        <v>-2.2293127039969738</v>
      </c>
      <c r="L45" s="183">
        <f>L9</f>
        <v>1009.0007539601449</v>
      </c>
      <c r="M45" s="190">
        <f>(-K45+SQRT(K45^2-4*J45*L45))/(2*J45)</f>
        <v>-225.64895219370894</v>
      </c>
      <c r="N45" s="190">
        <f>(-K45-SQRT(K45^2-4*J45*L45))/(2*J45)</f>
        <v>150.57772069495383</v>
      </c>
      <c r="O45" s="193">
        <f>IF(M45&lt;0,N45,M45)</f>
        <v>150.57772069495383</v>
      </c>
      <c r="P45" s="194">
        <f>$J$29*O45^2</f>
        <v>160.66928833395357</v>
      </c>
    </row>
    <row r="46" spans="2:16" x14ac:dyDescent="0.3">
      <c r="B46" s="217">
        <v>100.23825114520966</v>
      </c>
      <c r="C46" s="218">
        <v>9.3712680789629967</v>
      </c>
      <c r="D46" s="375">
        <v>57.938548387908824</v>
      </c>
      <c r="E46" s="377">
        <f t="shared" ref="E46:E53" si="6">D46/B46</f>
        <v>0.57800837231264568</v>
      </c>
      <c r="F46" s="405">
        <f>D46-$F$8</f>
        <v>51.886548387908825</v>
      </c>
      <c r="H46" s="176"/>
      <c r="I46" s="175">
        <v>8</v>
      </c>
      <c r="J46" s="183">
        <f>J10-$J$29</f>
        <v>-4.1719566351283502E-2</v>
      </c>
      <c r="K46" s="183">
        <f t="shared" ref="K46:L46" si="7">K10</f>
        <v>0.7434655935016965</v>
      </c>
      <c r="L46" s="183">
        <f t="shared" si="7"/>
        <v>590.02978165470643</v>
      </c>
      <c r="M46" s="190">
        <f t="shared" ref="M46:M48" si="8">(-K46+SQRT(K46^2-4*J46*L46))/(2*J46)</f>
        <v>-110.34639058060158</v>
      </c>
      <c r="N46" s="190">
        <f t="shared" ref="N46:N48" si="9">(-K46-SQRT(K46^2-4*J46*L46))/(2*J46)</f>
        <v>128.16693998999935</v>
      </c>
      <c r="O46" s="193">
        <f t="shared" ref="O46:O48" si="10">IF(M46&lt;0,N46,M46)</f>
        <v>128.16693998999935</v>
      </c>
      <c r="P46" s="194">
        <f>$J$29*O46^2</f>
        <v>116.40280971088502</v>
      </c>
    </row>
    <row r="47" spans="2:16" x14ac:dyDescent="0.3">
      <c r="B47" s="222">
        <v>95.381215965432133</v>
      </c>
      <c r="C47" s="218">
        <v>44.973437335423071</v>
      </c>
      <c r="D47" s="375">
        <v>59.233102676847786</v>
      </c>
      <c r="E47" s="377">
        <f t="shared" si="6"/>
        <v>0.62101433785783278</v>
      </c>
      <c r="F47" s="405">
        <f t="shared" ref="F47:F53" si="11">D47-$F$8</f>
        <v>53.181102676847786</v>
      </c>
      <c r="H47" s="176"/>
      <c r="I47" s="175">
        <v>6</v>
      </c>
      <c r="J47" s="183">
        <f>J11-$J$29</f>
        <v>-4.6050079141943263E-2</v>
      </c>
      <c r="K47" s="183">
        <f t="shared" ref="K47:L49" si="12">K11</f>
        <v>0.81597494879158583</v>
      </c>
      <c r="L47" s="183">
        <f t="shared" si="12"/>
        <v>321.83324188212231</v>
      </c>
      <c r="M47" s="190">
        <f t="shared" si="8"/>
        <v>-75.207347504584874</v>
      </c>
      <c r="N47" s="190">
        <f t="shared" si="9"/>
        <v>92.926642758702698</v>
      </c>
      <c r="O47" s="193">
        <f t="shared" si="10"/>
        <v>92.926642758702698</v>
      </c>
      <c r="P47" s="194">
        <f>$J$29*O47^2</f>
        <v>61.191616598664631</v>
      </c>
    </row>
    <row r="48" spans="2:16" x14ac:dyDescent="0.3">
      <c r="B48" s="222">
        <v>88.959437403723584</v>
      </c>
      <c r="C48" s="218">
        <v>87.822686484908843</v>
      </c>
      <c r="D48" s="375">
        <v>59.828655259661588</v>
      </c>
      <c r="E48" s="377">
        <f t="shared" si="6"/>
        <v>0.67253859742999378</v>
      </c>
      <c r="F48" s="405">
        <f t="shared" si="11"/>
        <v>53.776655259661588</v>
      </c>
      <c r="H48" s="176"/>
      <c r="I48" s="175">
        <v>4</v>
      </c>
      <c r="J48" s="183">
        <f>J12-$J$29</f>
        <v>-4.8918951409336879E-2</v>
      </c>
      <c r="K48" s="183">
        <f t="shared" si="12"/>
        <v>0.59173309523259277</v>
      </c>
      <c r="L48" s="183">
        <f t="shared" si="12"/>
        <v>134.15373763624768</v>
      </c>
      <c r="M48" s="190">
        <f t="shared" si="8"/>
        <v>-46.667620847491314</v>
      </c>
      <c r="N48" s="190">
        <f t="shared" si="9"/>
        <v>58.763814207834933</v>
      </c>
      <c r="O48" s="193">
        <f t="shared" si="10"/>
        <v>58.763814207834933</v>
      </c>
      <c r="P48" s="194">
        <f>$J$29*O48^2</f>
        <v>24.469854451905775</v>
      </c>
    </row>
    <row r="49" spans="2:16" x14ac:dyDescent="0.3">
      <c r="B49" s="222">
        <v>82.3909844603957</v>
      </c>
      <c r="C49" s="218">
        <v>127.06831842857616</v>
      </c>
      <c r="D49" s="375">
        <v>60.129697306064919</v>
      </c>
      <c r="E49" s="377">
        <f t="shared" si="6"/>
        <v>0.72980918603986944</v>
      </c>
      <c r="F49" s="405">
        <f t="shared" si="11"/>
        <v>54.07769730606492</v>
      </c>
      <c r="I49" s="175">
        <v>2</v>
      </c>
      <c r="J49" s="183">
        <f>J13-$J$29</f>
        <v>-4.6611707711150939E-2</v>
      </c>
      <c r="K49" s="183">
        <f t="shared" si="12"/>
        <v>-2.3642839761298655E-2</v>
      </c>
      <c r="L49" s="183">
        <f t="shared" si="12"/>
        <v>29.35167657279294</v>
      </c>
      <c r="M49" s="190">
        <f t="shared" ref="M49" si="13">(-K49+SQRT(K49^2-4*J49*L49))/(2*J49)</f>
        <v>-25.348841821560079</v>
      </c>
      <c r="N49" s="190">
        <f t="shared" ref="N49" si="14">(-K49-SQRT(K49^2-4*J49*L49))/(2*J49)</f>
        <v>24.841612180719387</v>
      </c>
      <c r="O49" s="193">
        <f t="shared" ref="O49" si="15">IF(M49&lt;0,N49,M49)</f>
        <v>24.841612180719387</v>
      </c>
      <c r="P49" s="194">
        <f>$J$29*O49^2</f>
        <v>4.3729145106098768</v>
      </c>
    </row>
    <row r="50" spans="2:16" x14ac:dyDescent="0.3">
      <c r="B50" s="223">
        <v>71.918386289200569</v>
      </c>
      <c r="C50" s="431">
        <v>180.33525411034333</v>
      </c>
      <c r="D50" s="398">
        <v>59.468072652772442</v>
      </c>
      <c r="E50" s="399">
        <f t="shared" si="6"/>
        <v>0.82688274474954826</v>
      </c>
      <c r="F50" s="405">
        <f t="shared" si="11"/>
        <v>53.416072652772442</v>
      </c>
      <c r="O50" s="209">
        <v>5</v>
      </c>
      <c r="P50" s="209">
        <f>J29*O50^2</f>
        <v>0.17715419501133789</v>
      </c>
    </row>
    <row r="51" spans="2:16" x14ac:dyDescent="0.3">
      <c r="B51" s="223">
        <v>64.542975183483136</v>
      </c>
      <c r="C51" s="432">
        <v>212.49908505136204</v>
      </c>
      <c r="D51" s="459">
        <v>58.836511732050347</v>
      </c>
      <c r="E51" s="434">
        <f t="shared" si="6"/>
        <v>0.91158660667236946</v>
      </c>
      <c r="F51" s="405">
        <f t="shared" si="11"/>
        <v>52.784511732050348</v>
      </c>
      <c r="O51" s="209"/>
      <c r="P51" s="209"/>
    </row>
    <row r="52" spans="2:16" x14ac:dyDescent="0.3">
      <c r="B52" s="223">
        <v>54.642574411533239</v>
      </c>
      <c r="C52" s="432">
        <v>248.09142985663314</v>
      </c>
      <c r="D52" s="459">
        <v>57.549013641590761</v>
      </c>
      <c r="E52" s="434">
        <f t="shared" si="6"/>
        <v>1.0531900127575993</v>
      </c>
      <c r="F52" s="405">
        <f t="shared" si="11"/>
        <v>51.497013641590762</v>
      </c>
      <c r="O52" s="209"/>
      <c r="P52" s="209"/>
    </row>
    <row r="53" spans="2:16" x14ac:dyDescent="0.3">
      <c r="B53" s="223">
        <v>39.85839400221198</v>
      </c>
      <c r="C53" s="432">
        <v>289.86154730986647</v>
      </c>
      <c r="D53" s="459">
        <v>54.958794800113445</v>
      </c>
      <c r="E53" s="434">
        <f t="shared" si="6"/>
        <v>1.3788512100378016</v>
      </c>
      <c r="F53" s="405">
        <f t="shared" si="11"/>
        <v>48.906794800113445</v>
      </c>
    </row>
    <row r="54" spans="2:16" ht="15" thickBot="1" x14ac:dyDescent="0.35">
      <c r="B54" s="224">
        <v>17.708728775766961</v>
      </c>
      <c r="C54" s="225">
        <v>325.69251177403311</v>
      </c>
      <c r="D54" s="376">
        <v>48.924999646698993</v>
      </c>
      <c r="E54" s="434">
        <f t="shared" ref="E54" si="16">D54/B54</f>
        <v>2.7627618145944561</v>
      </c>
      <c r="F54" s="405">
        <f t="shared" ref="F54" si="17">D54-$F$8</f>
        <v>42.872999646698993</v>
      </c>
      <c r="H54" s="176"/>
    </row>
    <row r="55" spans="2:16" ht="15.75" x14ac:dyDescent="0.3">
      <c r="D55" s="383"/>
      <c r="E55" s="121"/>
      <c r="F55" s="176"/>
      <c r="H55" s="176"/>
      <c r="I55" s="5" t="s">
        <v>250</v>
      </c>
    </row>
    <row r="56" spans="2:16" x14ac:dyDescent="0.3">
      <c r="D56" s="383"/>
      <c r="F56" s="176"/>
      <c r="H56" s="176"/>
      <c r="I56" s="121" t="s">
        <v>448</v>
      </c>
    </row>
    <row r="57" spans="2:16" ht="15" thickBot="1" x14ac:dyDescent="0.35">
      <c r="B57" s="174" t="s">
        <v>299</v>
      </c>
      <c r="D57" s="383"/>
      <c r="F57" s="176"/>
      <c r="H57" s="176"/>
    </row>
    <row r="58" spans="2:16" ht="15" thickBot="1" x14ac:dyDescent="0.35">
      <c r="B58" s="379" t="s">
        <v>215</v>
      </c>
      <c r="C58" s="380" t="s">
        <v>216</v>
      </c>
      <c r="D58" s="381" t="s">
        <v>217</v>
      </c>
      <c r="E58" s="382" t="s">
        <v>1</v>
      </c>
      <c r="F58" s="406" t="s">
        <v>383</v>
      </c>
      <c r="H58" s="176"/>
    </row>
    <row r="59" spans="2:16" x14ac:dyDescent="0.3">
      <c r="B59" s="441">
        <v>63.551819485788116</v>
      </c>
      <c r="C59" s="441">
        <v>2.3940630000150329</v>
      </c>
      <c r="D59" s="442">
        <v>26.797464530454491</v>
      </c>
      <c r="E59" s="463">
        <f t="shared" ref="E59:E63" si="18">D59/B59</f>
        <v>0.42166321510979116</v>
      </c>
      <c r="F59" s="405">
        <f>D59-$F$8</f>
        <v>20.745464530454491</v>
      </c>
      <c r="H59" s="176"/>
      <c r="I59" s="121" t="s">
        <v>241</v>
      </c>
    </row>
    <row r="60" spans="2:16" x14ac:dyDescent="0.3">
      <c r="B60" s="460">
        <v>56.2229830872798</v>
      </c>
      <c r="C60" s="218">
        <v>35.683300377315348</v>
      </c>
      <c r="D60" s="375">
        <v>26.234582825641752</v>
      </c>
      <c r="E60" s="434">
        <f t="shared" si="18"/>
        <v>0.46661669988082166</v>
      </c>
      <c r="F60" s="405">
        <f>D60-$F$8</f>
        <v>20.182582825641752</v>
      </c>
      <c r="H60" s="176"/>
      <c r="I60" s="161" t="s">
        <v>242</v>
      </c>
    </row>
    <row r="61" spans="2:16" x14ac:dyDescent="0.3">
      <c r="B61" s="461">
        <v>43.952765014597702</v>
      </c>
      <c r="C61" s="218">
        <v>79.734582255176832</v>
      </c>
      <c r="D61" s="375">
        <v>25.409612231543491</v>
      </c>
      <c r="E61" s="434">
        <f t="shared" si="18"/>
        <v>0.57811180304821297</v>
      </c>
      <c r="F61" s="405">
        <f>D61-$F$8</f>
        <v>19.357612231543492</v>
      </c>
      <c r="H61" s="176"/>
      <c r="I61" s="161" t="s">
        <v>248</v>
      </c>
      <c r="M61" s="121" t="s">
        <v>246</v>
      </c>
    </row>
    <row r="62" spans="2:16" x14ac:dyDescent="0.3">
      <c r="B62" s="461">
        <v>31.914756602912099</v>
      </c>
      <c r="C62" s="218">
        <v>109.73170534278331</v>
      </c>
      <c r="D62" s="375">
        <v>25.40008645374736</v>
      </c>
      <c r="E62" s="434">
        <f t="shared" si="18"/>
        <v>0.7958727923192026</v>
      </c>
      <c r="F62" s="405">
        <f>D62-$F$8</f>
        <v>19.34808645374736</v>
      </c>
      <c r="H62" s="176"/>
      <c r="I62" s="187" t="s">
        <v>243</v>
      </c>
      <c r="J62" s="175" t="s">
        <v>6</v>
      </c>
      <c r="K62" s="175" t="s">
        <v>7</v>
      </c>
      <c r="M62" s="204" t="s">
        <v>247</v>
      </c>
      <c r="N62" s="121" t="str">
        <f>IF(I23&lt;J67,I63,I64)</f>
        <v>0–9 V</v>
      </c>
    </row>
    <row r="63" spans="2:16" ht="15" thickBot="1" x14ac:dyDescent="0.35">
      <c r="B63" s="462">
        <v>15.41131930480895</v>
      </c>
      <c r="C63" s="229">
        <v>133.56339643427827</v>
      </c>
      <c r="D63" s="384">
        <v>23.609539388553078</v>
      </c>
      <c r="E63" s="464">
        <f t="shared" si="18"/>
        <v>1.5319609516614163</v>
      </c>
      <c r="F63" s="405">
        <f>D63-$F$8</f>
        <v>17.557539388553078</v>
      </c>
      <c r="H63" s="176"/>
      <c r="I63" s="187" t="s">
        <v>446</v>
      </c>
      <c r="J63" s="175">
        <f t="array" ref="J63:K63">LINEST(O46:O49,I46:I49)</f>
        <v>17.206940598935383</v>
      </c>
      <c r="K63" s="175">
        <v>-9.8599507103628241</v>
      </c>
      <c r="M63" s="204"/>
    </row>
    <row r="64" spans="2:16" x14ac:dyDescent="0.3">
      <c r="C64" s="174"/>
      <c r="F64" s="176"/>
      <c r="H64" s="176"/>
      <c r="I64" s="187" t="s">
        <v>447</v>
      </c>
      <c r="J64" s="175">
        <f t="array" ref="J64:K64">LINEST(J66:J67,I66:I67)</f>
        <v>5.575206014898213</v>
      </c>
      <c r="K64" s="175">
        <v>94.825660545971715</v>
      </c>
      <c r="M64" s="205" t="s">
        <v>249</v>
      </c>
      <c r="N64" s="198">
        <f>IF(N62=I63,(I23-K63)/J63,(I23-K64)/J64)</f>
        <v>5.4547727511868134</v>
      </c>
      <c r="O64" s="196"/>
    </row>
    <row r="65" spans="2:16" x14ac:dyDescent="0.3">
      <c r="C65" s="174"/>
      <c r="F65" s="176"/>
      <c r="H65" s="176"/>
      <c r="M65" s="121" t="s">
        <v>341</v>
      </c>
      <c r="N65" s="200">
        <f>IF(N135,N64,"-")</f>
        <v>5.4547727511868134</v>
      </c>
    </row>
    <row r="66" spans="2:16" ht="15" thickBot="1" x14ac:dyDescent="0.35">
      <c r="B66" s="174" t="s">
        <v>352</v>
      </c>
      <c r="C66" s="174"/>
      <c r="F66" s="176"/>
      <c r="H66" s="176"/>
      <c r="I66" s="187">
        <v>10</v>
      </c>
      <c r="J66" s="504">
        <f>O45</f>
        <v>150.57772069495383</v>
      </c>
      <c r="N66" s="200"/>
    </row>
    <row r="67" spans="2:16" ht="15" thickBot="1" x14ac:dyDescent="0.35">
      <c r="B67" s="379" t="s">
        <v>215</v>
      </c>
      <c r="C67" s="380" t="s">
        <v>216</v>
      </c>
      <c r="D67" s="381" t="s">
        <v>217</v>
      </c>
      <c r="E67" s="382" t="s">
        <v>1</v>
      </c>
      <c r="F67" s="406" t="s">
        <v>383</v>
      </c>
      <c r="H67" s="176"/>
      <c r="I67" s="187">
        <v>9</v>
      </c>
      <c r="J67" s="187">
        <f>J63*I67+K63</f>
        <v>145.00251468005561</v>
      </c>
      <c r="N67" s="200"/>
    </row>
    <row r="68" spans="2:16" x14ac:dyDescent="0.3">
      <c r="B68" s="441">
        <v>25.299281151558656</v>
      </c>
      <c r="C68" s="441">
        <v>3.4550645519492855</v>
      </c>
      <c r="D68" s="442">
        <v>12.70351569614142</v>
      </c>
      <c r="E68" s="463">
        <f t="shared" ref="E68:E70" si="19">D68/B68</f>
        <v>0.5021295119034942</v>
      </c>
      <c r="F68" s="405">
        <f>D68-$F$8</f>
        <v>6.651515696141419</v>
      </c>
      <c r="H68" s="176"/>
      <c r="I68" s="187">
        <f>I46</f>
        <v>8</v>
      </c>
      <c r="J68" s="504">
        <f>O46</f>
        <v>128.16693998999935</v>
      </c>
      <c r="N68" s="200"/>
    </row>
    <row r="69" spans="2:16" x14ac:dyDescent="0.3">
      <c r="B69" s="460">
        <v>19.463660272887935</v>
      </c>
      <c r="C69" s="218">
        <v>13.917879170317992</v>
      </c>
      <c r="D69" s="375">
        <v>12.570649079442987</v>
      </c>
      <c r="E69" s="434">
        <f t="shared" si="19"/>
        <v>0.64585226536004514</v>
      </c>
      <c r="F69" s="405">
        <f>D69-$F$8</f>
        <v>6.5186490794429863</v>
      </c>
      <c r="H69" s="176"/>
      <c r="I69" s="187">
        <f>I47</f>
        <v>6</v>
      </c>
      <c r="J69" s="504">
        <f t="shared" ref="J69:J71" si="20">O47</f>
        <v>92.926642758702698</v>
      </c>
      <c r="N69" s="200"/>
    </row>
    <row r="70" spans="2:16" x14ac:dyDescent="0.3">
      <c r="B70" s="461">
        <v>7.9508085959589678</v>
      </c>
      <c r="C70" s="218">
        <v>26.66507575008681</v>
      </c>
      <c r="D70" s="375">
        <v>12.565221362463783</v>
      </c>
      <c r="E70" s="434">
        <f t="shared" si="19"/>
        <v>1.5803702492410785</v>
      </c>
      <c r="F70" s="405">
        <f>D70-$F$8</f>
        <v>6.5132213624637822</v>
      </c>
      <c r="H70" s="176"/>
      <c r="I70" s="187">
        <f>I48</f>
        <v>4</v>
      </c>
      <c r="J70" s="504">
        <f t="shared" si="20"/>
        <v>58.763814207834933</v>
      </c>
      <c r="N70" s="200"/>
    </row>
    <row r="71" spans="2:16" x14ac:dyDescent="0.3">
      <c r="B71" s="461"/>
      <c r="C71" s="218"/>
      <c r="D71" s="375"/>
      <c r="E71" s="434"/>
      <c r="F71" s="405"/>
      <c r="H71" s="176"/>
      <c r="I71" s="187">
        <f>I49</f>
        <v>2</v>
      </c>
      <c r="J71" s="504">
        <f t="shared" si="20"/>
        <v>24.841612180719387</v>
      </c>
      <c r="N71" s="200"/>
    </row>
    <row r="72" spans="2:16" x14ac:dyDescent="0.3">
      <c r="C72" s="174"/>
      <c r="F72" s="176"/>
      <c r="H72" s="176"/>
      <c r="N72" s="200"/>
    </row>
    <row r="73" spans="2:16" ht="15" thickBot="1" x14ac:dyDescent="0.35">
      <c r="H73" s="176"/>
    </row>
    <row r="74" spans="2:16" ht="15.75" x14ac:dyDescent="0.3">
      <c r="B74" s="486" t="s">
        <v>401</v>
      </c>
      <c r="C74" s="487"/>
      <c r="D74" s="487"/>
      <c r="E74" s="487"/>
      <c r="F74" s="487"/>
      <c r="G74" s="488"/>
      <c r="H74" s="176"/>
      <c r="I74" s="5" t="s">
        <v>267</v>
      </c>
    </row>
    <row r="75" spans="2:16" x14ac:dyDescent="0.3">
      <c r="B75" s="489" t="s">
        <v>402</v>
      </c>
      <c r="C75" s="490"/>
      <c r="D75" s="490"/>
      <c r="E75" s="490"/>
      <c r="F75" s="490"/>
      <c r="G75" s="491"/>
      <c r="I75" s="121" t="s">
        <v>386</v>
      </c>
      <c r="N75" s="121" t="s">
        <v>268</v>
      </c>
    </row>
    <row r="76" spans="2:16" x14ac:dyDescent="0.3">
      <c r="B76" s="489" t="s">
        <v>403</v>
      </c>
      <c r="C76" s="490"/>
      <c r="D76" s="490"/>
      <c r="E76" s="490"/>
      <c r="F76" s="490"/>
      <c r="G76" s="491"/>
      <c r="I76" s="187" t="s">
        <v>11</v>
      </c>
      <c r="J76" s="385">
        <v>660</v>
      </c>
      <c r="K76" s="199"/>
      <c r="N76" s="187" t="s">
        <v>11</v>
      </c>
      <c r="O76" s="385">
        <v>10</v>
      </c>
      <c r="P76" s="199"/>
    </row>
    <row r="77" spans="2:16" x14ac:dyDescent="0.3">
      <c r="B77" s="489"/>
      <c r="C77" s="490"/>
      <c r="D77" s="490"/>
      <c r="E77" s="490"/>
      <c r="F77" s="490"/>
      <c r="G77" s="491"/>
      <c r="I77" s="187" t="s">
        <v>10</v>
      </c>
      <c r="J77" s="385">
        <v>85</v>
      </c>
      <c r="N77" s="187" t="s">
        <v>10</v>
      </c>
      <c r="O77" s="385">
        <v>150</v>
      </c>
    </row>
    <row r="78" spans="2:16" x14ac:dyDescent="0.3">
      <c r="B78" s="492" t="s">
        <v>410</v>
      </c>
      <c r="C78" s="490"/>
      <c r="D78" s="490"/>
      <c r="E78" s="490"/>
      <c r="F78" s="490"/>
      <c r="G78" s="491"/>
      <c r="I78" s="121" t="s">
        <v>261</v>
      </c>
      <c r="J78" s="200">
        <f>J76/J77</f>
        <v>7.7647058823529411</v>
      </c>
      <c r="N78" s="121" t="s">
        <v>261</v>
      </c>
      <c r="O78" s="206">
        <f>O76/O77^2</f>
        <v>4.4444444444444447E-4</v>
      </c>
    </row>
    <row r="79" spans="2:16" ht="15" thickBot="1" x14ac:dyDescent="0.35">
      <c r="B79" s="493" t="s">
        <v>10</v>
      </c>
      <c r="C79" s="494" t="s">
        <v>411</v>
      </c>
      <c r="D79" s="494" t="s">
        <v>412</v>
      </c>
      <c r="E79" s="495" t="s">
        <v>404</v>
      </c>
      <c r="F79" s="490"/>
      <c r="G79" s="491"/>
    </row>
    <row r="80" spans="2:16" x14ac:dyDescent="0.3">
      <c r="B80" s="496">
        <v>40</v>
      </c>
      <c r="C80" s="497">
        <v>0</v>
      </c>
      <c r="D80" s="497">
        <v>0</v>
      </c>
      <c r="E80" s="498">
        <v>0</v>
      </c>
      <c r="F80" s="490"/>
      <c r="G80" s="491"/>
      <c r="I80" s="121" t="s">
        <v>272</v>
      </c>
      <c r="N80" s="121" t="s">
        <v>273</v>
      </c>
    </row>
    <row r="81" spans="2:16" ht="15" thickBot="1" x14ac:dyDescent="0.35">
      <c r="B81" s="499">
        <v>160</v>
      </c>
      <c r="C81" s="500">
        <v>45</v>
      </c>
      <c r="D81" s="500">
        <v>48.8</v>
      </c>
      <c r="E81" s="501">
        <f>D81-C81</f>
        <v>3.7999999999999972</v>
      </c>
      <c r="F81" s="490"/>
      <c r="G81" s="491"/>
      <c r="I81" s="386" t="s">
        <v>223</v>
      </c>
      <c r="J81" s="178" t="s">
        <v>11</v>
      </c>
      <c r="N81" s="386" t="s">
        <v>223</v>
      </c>
      <c r="O81" s="178" t="s">
        <v>11</v>
      </c>
    </row>
    <row r="82" spans="2:16" x14ac:dyDescent="0.3">
      <c r="B82" s="499">
        <v>240</v>
      </c>
      <c r="C82" s="500">
        <v>71.400000000000006</v>
      </c>
      <c r="D82" s="500">
        <v>85.7</v>
      </c>
      <c r="E82" s="501">
        <f>D82-C82</f>
        <v>14.299999999999997</v>
      </c>
      <c r="F82" s="490"/>
      <c r="G82" s="491"/>
      <c r="I82" s="387">
        <v>5</v>
      </c>
      <c r="J82" s="191">
        <f>$J$78*I82</f>
        <v>38.823529411764703</v>
      </c>
      <c r="N82" s="387">
        <v>5</v>
      </c>
      <c r="O82" s="191">
        <f>$O$78*N82^2</f>
        <v>1.1111111111111112E-2</v>
      </c>
    </row>
    <row r="83" spans="2:16" x14ac:dyDescent="0.3">
      <c r="B83" s="499">
        <v>300</v>
      </c>
      <c r="C83" s="500">
        <v>106</v>
      </c>
      <c r="D83" s="500">
        <v>119</v>
      </c>
      <c r="E83" s="501">
        <f>D83-C83</f>
        <v>13</v>
      </c>
      <c r="F83" s="490"/>
      <c r="G83" s="491"/>
      <c r="H83" s="176"/>
      <c r="I83" s="192">
        <f>AVERAGE(I85,I82,I82)</f>
        <v>31.666666666666668</v>
      </c>
      <c r="J83" s="191">
        <f>$J$78*I83</f>
        <v>245.88235294117649</v>
      </c>
      <c r="N83" s="192">
        <f>AVERAGE(N85,N82,N82)</f>
        <v>53.333333333333336</v>
      </c>
      <c r="O83" s="192">
        <f>$O$78*N83^2</f>
        <v>1.2641975308641977</v>
      </c>
    </row>
    <row r="84" spans="2:16" x14ac:dyDescent="0.3">
      <c r="B84" s="499">
        <v>350</v>
      </c>
      <c r="C84" s="500">
        <v>139</v>
      </c>
      <c r="D84" s="500">
        <v>151</v>
      </c>
      <c r="E84" s="501">
        <f>D84-C84</f>
        <v>12</v>
      </c>
      <c r="F84" s="490"/>
      <c r="G84" s="491"/>
      <c r="H84" s="176"/>
      <c r="I84" s="192">
        <f>AVERAGE(I85,I85,I82)</f>
        <v>58.333333333333336</v>
      </c>
      <c r="J84" s="191">
        <f>$J$78*I84</f>
        <v>452.94117647058823</v>
      </c>
      <c r="N84" s="192">
        <f>AVERAGE(N85,N85,N82)</f>
        <v>101.66666666666667</v>
      </c>
      <c r="O84" s="192">
        <f>$O$78*N84^2</f>
        <v>4.5938271604938272</v>
      </c>
    </row>
    <row r="85" spans="2:16" x14ac:dyDescent="0.3">
      <c r="B85" s="489"/>
      <c r="C85" s="490"/>
      <c r="D85" s="490"/>
      <c r="E85" s="490"/>
      <c r="F85" s="490"/>
      <c r="G85" s="491"/>
      <c r="H85" s="176"/>
      <c r="I85" s="192">
        <f>J77</f>
        <v>85</v>
      </c>
      <c r="J85" s="191">
        <f>$J$78*I85</f>
        <v>660</v>
      </c>
      <c r="N85" s="192">
        <f>O77</f>
        <v>150</v>
      </c>
      <c r="O85" s="192">
        <f>$O$78*N85^2</f>
        <v>10</v>
      </c>
    </row>
    <row r="86" spans="2:16" x14ac:dyDescent="0.3">
      <c r="B86" s="489" t="s">
        <v>413</v>
      </c>
      <c r="C86" s="490" t="s">
        <v>414</v>
      </c>
      <c r="D86" s="502">
        <f t="array" ref="D86:E86">LINEST(E80:E84,B80:B84)</f>
        <v>4.5981903485254688E-2</v>
      </c>
      <c r="E86" s="502">
        <v>-1.4040549597855225</v>
      </c>
      <c r="F86" s="490"/>
      <c r="G86" s="491"/>
      <c r="H86" s="176"/>
    </row>
    <row r="87" spans="2:16" x14ac:dyDescent="0.3">
      <c r="B87" s="413"/>
      <c r="C87" s="417"/>
      <c r="D87" s="414"/>
      <c r="E87" s="415"/>
      <c r="F87" s="415"/>
      <c r="G87" s="416"/>
      <c r="H87" s="176"/>
    </row>
    <row r="88" spans="2:16" ht="15.75" x14ac:dyDescent="0.3">
      <c r="B88" s="413"/>
      <c r="C88" s="417"/>
      <c r="D88" s="414"/>
      <c r="E88" s="415"/>
      <c r="F88" s="415"/>
      <c r="G88" s="416"/>
      <c r="H88" s="176"/>
      <c r="I88" s="5" t="s">
        <v>280</v>
      </c>
      <c r="N88"/>
    </row>
    <row r="89" spans="2:16" x14ac:dyDescent="0.3">
      <c r="B89" s="413"/>
      <c r="C89" s="417"/>
      <c r="D89" s="414"/>
      <c r="E89" s="415"/>
      <c r="F89" s="415"/>
      <c r="G89" s="416"/>
      <c r="H89" s="176"/>
    </row>
    <row r="90" spans="2:16" x14ac:dyDescent="0.3">
      <c r="B90" s="413"/>
      <c r="C90" s="414"/>
      <c r="D90" s="414"/>
      <c r="E90" s="415"/>
      <c r="F90" s="414"/>
      <c r="G90" s="416"/>
      <c r="H90" s="176"/>
      <c r="I90" s="174" t="s">
        <v>278</v>
      </c>
    </row>
    <row r="91" spans="2:16" x14ac:dyDescent="0.3">
      <c r="B91" s="413"/>
      <c r="C91" s="414"/>
      <c r="D91" s="414"/>
      <c r="E91" s="415"/>
      <c r="F91" s="414"/>
      <c r="G91" s="416"/>
      <c r="H91" s="176"/>
      <c r="I91" s="121" t="s">
        <v>279</v>
      </c>
      <c r="M91" s="174" t="s">
        <v>384</v>
      </c>
    </row>
    <row r="92" spans="2:16" x14ac:dyDescent="0.3">
      <c r="B92" s="413"/>
      <c r="C92" s="414"/>
      <c r="D92" s="414"/>
      <c r="E92" s="415"/>
      <c r="F92" s="414"/>
      <c r="G92" s="416"/>
      <c r="H92" s="176"/>
      <c r="I92" s="121" t="s">
        <v>382</v>
      </c>
      <c r="L92" s="185" t="s">
        <v>186</v>
      </c>
      <c r="M92" s="387">
        <v>180</v>
      </c>
    </row>
    <row r="93" spans="2:16" x14ac:dyDescent="0.3">
      <c r="B93" s="413"/>
      <c r="C93" s="414"/>
      <c r="D93" s="414"/>
      <c r="E93" s="415"/>
      <c r="F93" s="414"/>
      <c r="G93" s="416"/>
      <c r="H93" s="176"/>
      <c r="O93"/>
      <c r="P93"/>
    </row>
    <row r="94" spans="2:16" x14ac:dyDescent="0.3">
      <c r="B94" s="413"/>
      <c r="C94" s="414"/>
      <c r="D94" s="414"/>
      <c r="E94" s="415"/>
      <c r="F94" s="414"/>
      <c r="G94" s="416"/>
      <c r="H94" s="176"/>
      <c r="I94" s="175" t="s">
        <v>237</v>
      </c>
      <c r="J94" s="400" t="s">
        <v>6</v>
      </c>
      <c r="K94" s="401" t="s">
        <v>7</v>
      </c>
      <c r="L94" s="402" t="s">
        <v>8</v>
      </c>
      <c r="M94" s="185" t="s">
        <v>282</v>
      </c>
      <c r="N94" s="209" t="s">
        <v>187</v>
      </c>
      <c r="O94"/>
      <c r="P94"/>
    </row>
    <row r="95" spans="2:16" x14ac:dyDescent="0.3">
      <c r="B95" s="413"/>
      <c r="C95" s="414"/>
      <c r="D95" s="414"/>
      <c r="E95" s="415"/>
      <c r="F95" s="414"/>
      <c r="G95" s="416"/>
      <c r="H95" s="176"/>
      <c r="I95" s="175">
        <v>10</v>
      </c>
      <c r="J95" s="175">
        <f t="array" ref="J95:L95">LINEST(F10:F22,C10:C22^{1,2})</f>
        <v>1.0596018344190678E-5</v>
      </c>
      <c r="K95" s="175">
        <v>-6.769074986837641E-3</v>
      </c>
      <c r="L95" s="192">
        <v>179.71207344673732</v>
      </c>
      <c r="M95" s="195">
        <f>P45</f>
        <v>160.66928833395357</v>
      </c>
      <c r="N95" s="160">
        <f>IF((J95*$M$95^2+K95*$M$95+L95)&gt;M92,M92,(J95*$M$95^2+K95*$M$95+L95))</f>
        <v>178.89802317525604</v>
      </c>
      <c r="O95" s="121" t="s">
        <v>284</v>
      </c>
      <c r="P95"/>
    </row>
    <row r="96" spans="2:16" x14ac:dyDescent="0.3">
      <c r="B96" s="413"/>
      <c r="C96" s="414"/>
      <c r="D96" s="418"/>
      <c r="E96" s="418"/>
      <c r="F96" s="414"/>
      <c r="G96" s="416"/>
      <c r="H96" s="176"/>
      <c r="I96" s="175">
        <v>8</v>
      </c>
      <c r="J96" s="175">
        <f t="array" ref="J96:L96">LINEST(F30:F40,C30:C40^{1,2})</f>
        <v>-9.7252604251042983E-5</v>
      </c>
      <c r="K96" s="175">
        <v>4.1265196987422779E-2</v>
      </c>
      <c r="L96" s="192">
        <v>113.70568662048805</v>
      </c>
      <c r="M96" s="195">
        <f>P46</f>
        <v>116.40280971088502</v>
      </c>
      <c r="N96" s="160">
        <f>J96*$M$96^2+K96*$M$96+L96</f>
        <v>117.1913362344403</v>
      </c>
      <c r="O96"/>
      <c r="P96"/>
    </row>
    <row r="97" spans="2:22" x14ac:dyDescent="0.3">
      <c r="B97" s="413"/>
      <c r="C97" s="414"/>
      <c r="D97" s="414"/>
      <c r="E97" s="415"/>
      <c r="F97" s="414"/>
      <c r="G97" s="416"/>
      <c r="H97" s="176"/>
      <c r="I97" s="175">
        <v>6</v>
      </c>
      <c r="J97" s="175">
        <f t="array" ref="J97:L97">LINEST(F46:F54,C46:C54^{1,2})</f>
        <v>-2.5262882318324159E-4</v>
      </c>
      <c r="K97" s="175">
        <v>6.1979129407818245E-2</v>
      </c>
      <c r="L97" s="192">
        <v>50.843734824700974</v>
      </c>
      <c r="M97" s="195">
        <f>P47</f>
        <v>61.191616598664631</v>
      </c>
      <c r="N97" s="160">
        <f>J97*$M$97^2+K97*$M$97+L97</f>
        <v>53.690391060875442</v>
      </c>
      <c r="O97"/>
      <c r="P97"/>
    </row>
    <row r="98" spans="2:22" x14ac:dyDescent="0.3">
      <c r="B98" s="413"/>
      <c r="C98" s="414"/>
      <c r="D98" s="414"/>
      <c r="E98" s="415"/>
      <c r="F98" s="414"/>
      <c r="G98" s="416"/>
      <c r="H98" s="176"/>
      <c r="I98" s="175">
        <v>4</v>
      </c>
      <c r="J98" s="175">
        <f t="array" ref="J98:L98">LINEST(F59:F63,C59:C63^{1,2})</f>
        <v>-1.3927094212940592E-4</v>
      </c>
      <c r="K98" s="175">
        <v>-1.9590959282331393E-3</v>
      </c>
      <c r="L98" s="192">
        <v>20.624747473333329</v>
      </c>
      <c r="M98" s="195">
        <f>P48</f>
        <v>24.469854451905775</v>
      </c>
      <c r="N98" s="160">
        <f>J98*$M$98^2+K98*$M$98+L98</f>
        <v>20.493416893081253</v>
      </c>
      <c r="O98"/>
      <c r="P98"/>
      <c r="Q98"/>
      <c r="R98"/>
      <c r="S98"/>
      <c r="T98"/>
      <c r="U98"/>
      <c r="V98"/>
    </row>
    <row r="99" spans="2:22" x14ac:dyDescent="0.3">
      <c r="B99" s="412"/>
      <c r="C99" s="414"/>
      <c r="D99" s="414"/>
      <c r="E99" s="415"/>
      <c r="F99" s="414"/>
      <c r="G99" s="416"/>
      <c r="H99" s="176"/>
      <c r="I99" s="175">
        <v>2</v>
      </c>
      <c r="J99" s="175">
        <f t="array" ref="J99:L99">LINEST(F68:F70,C68:C70^{1,2})</f>
        <v>5.2878644963910931E-4</v>
      </c>
      <c r="K99" s="175">
        <v>-2.1885513563275082E-2</v>
      </c>
      <c r="L99" s="192">
        <v>6.7208191853165946</v>
      </c>
      <c r="M99" s="195">
        <f>P49</f>
        <v>4.3729145106098768</v>
      </c>
      <c r="N99" s="160">
        <f>J99*$M$99^2+K99*$M$99+L99</f>
        <v>6.6352273616089157</v>
      </c>
      <c r="O99"/>
      <c r="P99"/>
      <c r="Q99"/>
      <c r="R99"/>
      <c r="S99"/>
      <c r="T99"/>
      <c r="U99"/>
    </row>
    <row r="100" spans="2:22" x14ac:dyDescent="0.3">
      <c r="B100" s="412"/>
      <c r="C100" s="414"/>
      <c r="D100" s="414"/>
      <c r="E100" s="415"/>
      <c r="F100" s="414"/>
      <c r="G100" s="416"/>
      <c r="H100" s="176"/>
      <c r="O100"/>
      <c r="P100"/>
      <c r="Q100"/>
      <c r="R100"/>
      <c r="S100"/>
      <c r="T100"/>
      <c r="U100"/>
    </row>
    <row r="101" spans="2:22" x14ac:dyDescent="0.3">
      <c r="B101" s="412"/>
      <c r="C101" s="414"/>
      <c r="D101" s="414"/>
      <c r="E101" s="415"/>
      <c r="F101" s="414"/>
      <c r="G101" s="416"/>
      <c r="H101" s="176"/>
      <c r="I101" s="174" t="s">
        <v>286</v>
      </c>
      <c r="O101"/>
      <c r="P101"/>
      <c r="Q101"/>
      <c r="R101"/>
      <c r="S101"/>
      <c r="T101"/>
      <c r="U101"/>
    </row>
    <row r="102" spans="2:22" x14ac:dyDescent="0.3">
      <c r="B102" s="412"/>
      <c r="C102" s="414"/>
      <c r="D102" s="414"/>
      <c r="E102" s="415"/>
      <c r="F102" s="414"/>
      <c r="G102" s="416"/>
      <c r="H102" s="176"/>
      <c r="I102" s="161" t="s">
        <v>350</v>
      </c>
      <c r="O102"/>
      <c r="P102"/>
      <c r="Q102"/>
      <c r="R102"/>
      <c r="S102"/>
      <c r="T102"/>
      <c r="U102"/>
    </row>
    <row r="103" spans="2:22" ht="15" thickBot="1" x14ac:dyDescent="0.35">
      <c r="B103" s="412"/>
      <c r="C103" s="414"/>
      <c r="D103" s="414"/>
      <c r="E103" s="415"/>
      <c r="F103" s="414"/>
      <c r="G103" s="416"/>
      <c r="H103" s="176"/>
      <c r="I103" s="161" t="s">
        <v>288</v>
      </c>
      <c r="O103"/>
      <c r="P103"/>
      <c r="Q103"/>
      <c r="R103"/>
      <c r="S103"/>
      <c r="T103"/>
      <c r="U103"/>
    </row>
    <row r="104" spans="2:22" x14ac:dyDescent="0.3">
      <c r="B104" s="412" t="s">
        <v>416</v>
      </c>
      <c r="C104" s="414"/>
      <c r="D104" s="414"/>
      <c r="E104" s="415"/>
      <c r="F104" s="414"/>
      <c r="G104" s="416"/>
      <c r="H104" s="176"/>
      <c r="J104" s="197" t="s">
        <v>6</v>
      </c>
      <c r="K104" s="197" t="s">
        <v>7</v>
      </c>
      <c r="L104" s="197" t="s">
        <v>8</v>
      </c>
      <c r="M104" s="197" t="s">
        <v>5</v>
      </c>
      <c r="N104" s="355" t="s">
        <v>276</v>
      </c>
      <c r="O104"/>
      <c r="P104"/>
      <c r="Q104"/>
      <c r="R104"/>
      <c r="S104"/>
      <c r="T104"/>
      <c r="U104"/>
    </row>
    <row r="105" spans="2:22" x14ac:dyDescent="0.3">
      <c r="B105" s="419" t="s">
        <v>405</v>
      </c>
      <c r="C105" s="420">
        <f t="array" ref="C105:E105">LINEST(C10:C25,B10:B25^{1,2})</f>
        <v>-2.260979774440294E-2</v>
      </c>
      <c r="D105" s="421">
        <v>-2.2293127039969738</v>
      </c>
      <c r="E105" s="420">
        <v>1009.0007539601449</v>
      </c>
      <c r="F105" s="418"/>
      <c r="G105" s="416"/>
      <c r="H105" s="176"/>
      <c r="I105" s="201" t="s">
        <v>239</v>
      </c>
      <c r="J105" s="175">
        <f t="array" ref="J105:L105">LINEST(N96:N99,I96:I99^{1,2})</f>
        <v>3.1026722276307779</v>
      </c>
      <c r="K105" s="175">
        <v>-12.78345723699338</v>
      </c>
      <c r="L105" s="175">
        <v>20.339712243545037</v>
      </c>
      <c r="M105" s="175"/>
      <c r="N105" s="356">
        <f>J105*N64^2+K105*N64+L105</f>
        <v>42.927460838551241</v>
      </c>
      <c r="O105"/>
      <c r="P105"/>
      <c r="Q105"/>
      <c r="R105"/>
      <c r="S105"/>
      <c r="T105"/>
      <c r="U105"/>
    </row>
    <row r="106" spans="2:22" ht="15" thickBot="1" x14ac:dyDescent="0.35">
      <c r="B106" s="419" t="s">
        <v>406</v>
      </c>
      <c r="C106" s="420" cm="1">
        <f t="array" ref="C106:E106">LINEST(C30:C41,B30:B41^{1,2})</f>
        <v>-3.4633398550829989E-2</v>
      </c>
      <c r="D106" s="421">
        <v>0.7434655935016965</v>
      </c>
      <c r="E106" s="420">
        <v>590.02978165470643</v>
      </c>
      <c r="F106" s="418"/>
      <c r="G106" s="416"/>
      <c r="H106" s="176"/>
      <c r="I106" s="201" t="s">
        <v>240</v>
      </c>
      <c r="J106" s="175">
        <f t="array" ref="J106:K106">LINEST(N95:N96,I95:I96)</f>
        <v>30.853343470407875</v>
      </c>
      <c r="K106" s="175">
        <v>-129.63541152882269</v>
      </c>
      <c r="L106" s="175"/>
      <c r="M106" s="175"/>
      <c r="N106" s="357">
        <f>J106*N64+K106</f>
        <v>38.66256571656578</v>
      </c>
      <c r="O106"/>
      <c r="P106"/>
      <c r="Q106"/>
      <c r="R106"/>
      <c r="S106"/>
      <c r="T106"/>
      <c r="U106"/>
    </row>
    <row r="107" spans="2:22" x14ac:dyDescent="0.3">
      <c r="B107" s="419" t="s">
        <v>407</v>
      </c>
      <c r="C107" s="420">
        <f t="array" ref="C107:E107">LINEST(C46:C54,B46:B54^{1,2})</f>
        <v>-3.896391134148975E-2</v>
      </c>
      <c r="D107" s="421">
        <v>0.81597494879158583</v>
      </c>
      <c r="E107" s="420">
        <v>321.83324188212231</v>
      </c>
      <c r="F107" s="418"/>
      <c r="G107" s="416"/>
      <c r="H107" s="176"/>
      <c r="P107"/>
      <c r="Q107"/>
      <c r="R107"/>
      <c r="S107"/>
      <c r="T107"/>
      <c r="U107"/>
    </row>
    <row r="108" spans="2:22" x14ac:dyDescent="0.3">
      <c r="B108" s="419" t="s">
        <v>408</v>
      </c>
      <c r="C108" s="420" cm="1">
        <f t="array" ref="C108:E108">LINEST(C59:C63,B59:B63^{1,2})</f>
        <v>-4.1832783608883366E-2</v>
      </c>
      <c r="D108" s="421">
        <v>0.59173309523259277</v>
      </c>
      <c r="E108" s="420">
        <v>134.15373763624768</v>
      </c>
      <c r="F108" s="418"/>
      <c r="G108" s="416"/>
      <c r="H108" s="176"/>
      <c r="I108" s="174" t="s">
        <v>349</v>
      </c>
      <c r="N108"/>
      <c r="P108"/>
      <c r="Q108"/>
      <c r="R108"/>
      <c r="S108"/>
      <c r="T108"/>
      <c r="U108"/>
    </row>
    <row r="109" spans="2:22" x14ac:dyDescent="0.3">
      <c r="B109" s="419" t="s">
        <v>417</v>
      </c>
      <c r="C109" s="420">
        <f t="array" ref="C109:E109">LINEST(C68:C70,B68:B70^{1,2})</f>
        <v>-3.9525539910697426E-2</v>
      </c>
      <c r="D109" s="421">
        <v>-2.3642839761298655E-2</v>
      </c>
      <c r="E109" s="420">
        <v>29.35167657279294</v>
      </c>
      <c r="F109" s="418"/>
      <c r="G109" s="416"/>
      <c r="H109" s="176"/>
      <c r="I109" s="174"/>
      <c r="N109"/>
      <c r="P109"/>
      <c r="Q109"/>
      <c r="R109"/>
      <c r="S109"/>
      <c r="T109"/>
      <c r="U109"/>
    </row>
    <row r="110" spans="2:22" x14ac:dyDescent="0.3">
      <c r="B110" s="412"/>
      <c r="C110" s="414"/>
      <c r="D110" s="414"/>
      <c r="E110" s="415"/>
      <c r="F110" s="414"/>
      <c r="G110" s="416"/>
      <c r="H110" s="176"/>
      <c r="I110" s="161" t="s">
        <v>350</v>
      </c>
      <c r="P110"/>
      <c r="Q110"/>
      <c r="R110"/>
      <c r="S110"/>
      <c r="T110"/>
      <c r="U110"/>
    </row>
    <row r="111" spans="2:22" ht="15" thickBot="1" x14ac:dyDescent="0.35">
      <c r="B111" s="443" t="s">
        <v>409</v>
      </c>
      <c r="C111" s="444"/>
      <c r="D111" s="444"/>
      <c r="E111" s="444"/>
      <c r="F111" s="414"/>
      <c r="G111" s="416"/>
      <c r="H111" s="176"/>
      <c r="I111" s="161" t="s">
        <v>288</v>
      </c>
      <c r="P111"/>
      <c r="Q111"/>
      <c r="R111"/>
      <c r="S111"/>
      <c r="T111"/>
      <c r="U111"/>
    </row>
    <row r="112" spans="2:22" x14ac:dyDescent="0.3">
      <c r="B112" s="445" t="s">
        <v>405</v>
      </c>
      <c r="C112" s="446">
        <f>C105</f>
        <v>-2.260979774440294E-2</v>
      </c>
      <c r="D112" s="447">
        <f>D105-$D$86</f>
        <v>-2.2752946074822287</v>
      </c>
      <c r="E112" s="446">
        <f>E105-$E$86</f>
        <v>1010.4048089199305</v>
      </c>
      <c r="F112" s="414"/>
      <c r="G112" s="416"/>
      <c r="H112" s="176"/>
      <c r="J112" s="197" t="s">
        <v>6</v>
      </c>
      <c r="K112" s="197" t="s">
        <v>7</v>
      </c>
      <c r="L112" s="197" t="s">
        <v>8</v>
      </c>
      <c r="N112" s="355" t="s">
        <v>276</v>
      </c>
      <c r="P112"/>
      <c r="Q112"/>
      <c r="R112"/>
      <c r="S112"/>
      <c r="T112"/>
      <c r="U112"/>
    </row>
    <row r="113" spans="2:21" x14ac:dyDescent="0.3">
      <c r="B113" s="445" t="s">
        <v>406</v>
      </c>
      <c r="C113" s="446">
        <f t="shared" ref="C113:C115" si="21">C106</f>
        <v>-3.4633398550829989E-2</v>
      </c>
      <c r="D113" s="447">
        <f t="shared" ref="D113:D115" si="22">D106-$D$86</f>
        <v>0.69748369001644184</v>
      </c>
      <c r="E113" s="446">
        <f t="shared" ref="E113:E115" si="23">E106-$E$86</f>
        <v>591.43383661449195</v>
      </c>
      <c r="F113" s="414"/>
      <c r="G113" s="416"/>
      <c r="H113" s="176"/>
      <c r="I113" s="201" t="s">
        <v>239</v>
      </c>
      <c r="J113" s="175">
        <f t="array" ref="J113:L113">LINEST(N96:N99,M96:M99^{1,2})</f>
        <v>2.9241194961605677E-3</v>
      </c>
      <c r="K113" s="175">
        <v>0.63602763880385571</v>
      </c>
      <c r="L113" s="175">
        <v>3.5835007218087824</v>
      </c>
      <c r="M113" s="199" t="s">
        <v>351</v>
      </c>
      <c r="N113" s="356">
        <f>J113*I24^2+K113*I24+L113</f>
        <v>42.695181402402987</v>
      </c>
      <c r="P113"/>
      <c r="Q113"/>
      <c r="R113"/>
      <c r="S113"/>
      <c r="T113"/>
      <c r="U113"/>
    </row>
    <row r="114" spans="2:21" ht="15" thickBot="1" x14ac:dyDescent="0.35">
      <c r="B114" s="445" t="s">
        <v>407</v>
      </c>
      <c r="C114" s="446">
        <f t="shared" si="21"/>
        <v>-3.896391134148975E-2</v>
      </c>
      <c r="D114" s="447">
        <f t="shared" si="22"/>
        <v>0.76999304530633117</v>
      </c>
      <c r="E114" s="446">
        <f t="shared" si="23"/>
        <v>323.23729684190783</v>
      </c>
      <c r="F114" s="414"/>
      <c r="G114" s="416"/>
      <c r="H114" s="176"/>
      <c r="I114" s="201" t="s">
        <v>240</v>
      </c>
      <c r="J114" s="175">
        <f t="array" ref="J114:K114">LINEST(N95:N96,M95:M96)</f>
        <v>1.3939822832137048</v>
      </c>
      <c r="K114" s="175">
        <v>-45.072118218829615</v>
      </c>
      <c r="L114" s="175"/>
      <c r="N114" s="357">
        <f>J114*I24+K114</f>
        <v>24.626995941855625</v>
      </c>
      <c r="O114"/>
      <c r="P114"/>
      <c r="Q114"/>
      <c r="R114"/>
      <c r="S114"/>
      <c r="T114"/>
      <c r="U114"/>
    </row>
    <row r="115" spans="2:21" ht="15" thickBot="1" x14ac:dyDescent="0.35">
      <c r="B115" s="448" t="s">
        <v>408</v>
      </c>
      <c r="C115" s="449">
        <f t="shared" si="21"/>
        <v>-4.1832783608883366E-2</v>
      </c>
      <c r="D115" s="450">
        <f t="shared" si="22"/>
        <v>0.5457511917473381</v>
      </c>
      <c r="E115" s="449">
        <f t="shared" si="23"/>
        <v>135.55779259603321</v>
      </c>
      <c r="F115" s="422"/>
      <c r="G115" s="423"/>
      <c r="H115" s="176"/>
      <c r="I115"/>
      <c r="J115"/>
      <c r="K115"/>
      <c r="L115"/>
      <c r="N115"/>
      <c r="O115"/>
      <c r="P115"/>
      <c r="Q115"/>
      <c r="R115"/>
      <c r="S115"/>
      <c r="T115"/>
      <c r="U115"/>
    </row>
    <row r="116" spans="2:21" x14ac:dyDescent="0.3">
      <c r="B116"/>
      <c r="H116" s="176"/>
      <c r="I116" s="121" t="s">
        <v>285</v>
      </c>
      <c r="N116"/>
      <c r="O116"/>
      <c r="P116"/>
      <c r="Q116"/>
      <c r="R116"/>
      <c r="S116"/>
      <c r="T116"/>
      <c r="U116"/>
    </row>
    <row r="117" spans="2:21" x14ac:dyDescent="0.3">
      <c r="B117"/>
      <c r="H117" s="176"/>
      <c r="I117" s="121" t="s">
        <v>283</v>
      </c>
      <c r="J117" s="211">
        <f>IF(N64&gt;8,AVERAGE(N106,N114,N114),AVERAGE(N105,N113,N113))</f>
        <v>42.772607881119079</v>
      </c>
      <c r="K117" s="174" t="s">
        <v>3</v>
      </c>
      <c r="M117"/>
      <c r="N117"/>
      <c r="O117"/>
      <c r="P117"/>
      <c r="Q117"/>
      <c r="R117"/>
      <c r="S117"/>
      <c r="T117"/>
      <c r="U117"/>
    </row>
    <row r="118" spans="2:21" x14ac:dyDescent="0.3">
      <c r="B118"/>
      <c r="H118" s="176"/>
      <c r="I118" s="121" t="s">
        <v>341</v>
      </c>
      <c r="J118" s="195">
        <f>IF(N135,J117,"-")</f>
        <v>42.772607881119079</v>
      </c>
      <c r="K118" s="121" t="s">
        <v>3</v>
      </c>
      <c r="M118"/>
      <c r="N118"/>
      <c r="O118"/>
      <c r="P118"/>
      <c r="Q118"/>
      <c r="R118"/>
      <c r="S118"/>
      <c r="T118"/>
      <c r="U118"/>
    </row>
    <row r="119" spans="2:21" x14ac:dyDescent="0.3">
      <c r="B119"/>
      <c r="H119" s="176"/>
      <c r="O119"/>
      <c r="P119"/>
      <c r="Q119"/>
      <c r="R119"/>
      <c r="S119"/>
      <c r="T119"/>
      <c r="U119"/>
    </row>
    <row r="120" spans="2:21" ht="15.75" x14ac:dyDescent="0.3">
      <c r="B120"/>
      <c r="H120" s="176"/>
      <c r="I120" s="5" t="s">
        <v>376</v>
      </c>
      <c r="J120"/>
      <c r="K120"/>
      <c r="L120"/>
      <c r="M120"/>
      <c r="N120"/>
      <c r="O120"/>
      <c r="P120"/>
      <c r="Q120"/>
      <c r="R120"/>
      <c r="S120"/>
      <c r="T120"/>
      <c r="U120"/>
    </row>
    <row r="121" spans="2:21" x14ac:dyDescent="0.3">
      <c r="B121"/>
      <c r="H121" s="176"/>
      <c r="I121" s="121" t="s">
        <v>371</v>
      </c>
      <c r="K121" s="176"/>
      <c r="M121" s="176"/>
      <c r="O121"/>
      <c r="P121"/>
      <c r="Q121"/>
      <c r="R121"/>
      <c r="S121"/>
      <c r="T121"/>
      <c r="U121"/>
    </row>
    <row r="122" spans="2:21" x14ac:dyDescent="0.3">
      <c r="B122"/>
      <c r="H122" s="176"/>
      <c r="K122" s="176"/>
      <c r="M122" s="176"/>
      <c r="Q122"/>
      <c r="R122"/>
      <c r="S122"/>
      <c r="T122"/>
      <c r="U122"/>
    </row>
    <row r="123" spans="2:21" x14ac:dyDescent="0.3">
      <c r="B123"/>
      <c r="H123" s="176"/>
      <c r="I123" s="121" t="s">
        <v>372</v>
      </c>
      <c r="K123" s="176"/>
      <c r="M123" s="176"/>
      <c r="Q123"/>
      <c r="R123"/>
      <c r="S123"/>
      <c r="T123"/>
      <c r="U123"/>
    </row>
    <row r="124" spans="2:21" x14ac:dyDescent="0.3">
      <c r="B124"/>
      <c r="H124" s="176"/>
      <c r="J124" s="209" t="s">
        <v>10</v>
      </c>
      <c r="K124" s="209" t="s">
        <v>11</v>
      </c>
      <c r="M124" s="121" t="s">
        <v>370</v>
      </c>
      <c r="Q124"/>
      <c r="R124"/>
      <c r="S124"/>
      <c r="T124"/>
      <c r="U124"/>
    </row>
    <row r="125" spans="2:21" x14ac:dyDescent="0.3">
      <c r="B125"/>
      <c r="H125" s="176"/>
      <c r="I125" s="121" t="s">
        <v>4</v>
      </c>
      <c r="J125" s="200">
        <f>O45</f>
        <v>150.57772069495383</v>
      </c>
      <c r="K125" s="200">
        <f>P45</f>
        <v>160.66928833395357</v>
      </c>
      <c r="M125" s="371">
        <f>J125/I23-1</f>
        <v>0.79259191303516463</v>
      </c>
      <c r="Q125"/>
      <c r="R125"/>
      <c r="S125"/>
      <c r="T125"/>
      <c r="U125"/>
    </row>
    <row r="126" spans="2:21" x14ac:dyDescent="0.3">
      <c r="B126"/>
      <c r="H126" s="176"/>
      <c r="J126" s="209"/>
      <c r="K126" s="209"/>
      <c r="M126" s="209">
        <f>IF(N135,M125,"-")</f>
        <v>0.79259191303516463</v>
      </c>
      <c r="Q126"/>
      <c r="R126"/>
      <c r="S126"/>
      <c r="T126"/>
      <c r="U126"/>
    </row>
    <row r="127" spans="2:21" x14ac:dyDescent="0.3">
      <c r="B127"/>
      <c r="H127" s="176"/>
      <c r="O127"/>
      <c r="P127"/>
      <c r="Q127"/>
      <c r="S127"/>
      <c r="T127"/>
      <c r="U127"/>
    </row>
    <row r="128" spans="2:21" ht="15.75" x14ac:dyDescent="0.3">
      <c r="B128"/>
      <c r="H128" s="176"/>
      <c r="I128" s="5" t="s">
        <v>385</v>
      </c>
      <c r="O128"/>
      <c r="P128"/>
      <c r="Q128"/>
      <c r="R128"/>
      <c r="S128"/>
      <c r="T128"/>
      <c r="U128"/>
    </row>
    <row r="129" spans="2:21" x14ac:dyDescent="0.3">
      <c r="B129"/>
      <c r="H129" s="176"/>
      <c r="I129" s="187" t="s">
        <v>251</v>
      </c>
      <c r="J129" s="570" t="s">
        <v>257</v>
      </c>
      <c r="K129" s="570"/>
      <c r="L129" s="570"/>
      <c r="M129" s="570"/>
      <c r="N129" s="187" t="b">
        <f>IF(I23&gt;0,TRUE,FALSE)</f>
        <v>1</v>
      </c>
      <c r="O129"/>
      <c r="P129"/>
      <c r="Q129"/>
      <c r="R129"/>
      <c r="S129"/>
      <c r="T129"/>
      <c r="U129"/>
    </row>
    <row r="130" spans="2:21" x14ac:dyDescent="0.3">
      <c r="B130"/>
      <c r="H130" s="176"/>
      <c r="I130" s="187" t="s">
        <v>252</v>
      </c>
      <c r="J130" s="570" t="s">
        <v>258</v>
      </c>
      <c r="K130" s="570"/>
      <c r="L130" s="570"/>
      <c r="M130" s="570"/>
      <c r="N130" s="187" t="b">
        <f>IF(OR(I23&gt;O45,ISERROR(O45)),FALSE,TRUE)</f>
        <v>1</v>
      </c>
      <c r="O130"/>
      <c r="P130"/>
      <c r="Q130"/>
      <c r="R130"/>
      <c r="S130"/>
      <c r="T130"/>
      <c r="U130"/>
    </row>
    <row r="131" spans="2:21" x14ac:dyDescent="0.3">
      <c r="B131"/>
      <c r="H131" s="176"/>
      <c r="I131" s="187" t="s">
        <v>253</v>
      </c>
      <c r="J131" s="570" t="s">
        <v>259</v>
      </c>
      <c r="K131" s="570"/>
      <c r="L131" s="570"/>
      <c r="M131" s="570"/>
      <c r="N131" s="187" t="b">
        <f>IF(I23&lt;O53,FALSE,TRUE)</f>
        <v>1</v>
      </c>
      <c r="O131"/>
      <c r="P131"/>
      <c r="Q131"/>
      <c r="R131"/>
      <c r="S131"/>
      <c r="T131"/>
      <c r="U131"/>
    </row>
    <row r="132" spans="2:21" x14ac:dyDescent="0.3">
      <c r="B132"/>
      <c r="H132" s="176"/>
      <c r="I132" s="187" t="s">
        <v>254</v>
      </c>
      <c r="J132" s="570" t="s">
        <v>256</v>
      </c>
      <c r="K132" s="570"/>
      <c r="L132" s="570"/>
      <c r="M132" s="570"/>
      <c r="N132" s="187" t="b">
        <f>IF(I24&gt;0,TRUE,FALSE)</f>
        <v>1</v>
      </c>
      <c r="O132"/>
      <c r="P132"/>
      <c r="Q132"/>
      <c r="R132"/>
      <c r="S132"/>
      <c r="T132"/>
      <c r="U132"/>
    </row>
    <row r="133" spans="2:21" x14ac:dyDescent="0.3">
      <c r="B133"/>
      <c r="H133" s="176"/>
      <c r="I133" s="187" t="s">
        <v>255</v>
      </c>
      <c r="J133" s="570" t="s">
        <v>264</v>
      </c>
      <c r="K133" s="570"/>
      <c r="L133" s="570"/>
      <c r="M133" s="570"/>
      <c r="N133" s="187" t="b">
        <f>IF(J32&lt;J78,TRUE,FALSE)</f>
        <v>1</v>
      </c>
      <c r="O133"/>
      <c r="P133"/>
      <c r="Q133"/>
      <c r="R133"/>
      <c r="S133"/>
      <c r="T133"/>
      <c r="U133"/>
    </row>
    <row r="134" spans="2:21" ht="15" thickBot="1" x14ac:dyDescent="0.35">
      <c r="B134"/>
      <c r="H134" s="176"/>
      <c r="I134" s="207" t="s">
        <v>269</v>
      </c>
      <c r="J134" s="569" t="s">
        <v>270</v>
      </c>
      <c r="K134" s="569"/>
      <c r="L134" s="569"/>
      <c r="M134" s="569"/>
      <c r="N134" s="207" t="b">
        <f>IF(J29&gt;O78,TRUE,FALSE)</f>
        <v>1</v>
      </c>
      <c r="O134"/>
      <c r="P134"/>
      <c r="Q134"/>
      <c r="R134"/>
      <c r="S134"/>
      <c r="T134"/>
      <c r="U134"/>
    </row>
    <row r="135" spans="2:21" x14ac:dyDescent="0.3">
      <c r="B135"/>
      <c r="H135" s="176"/>
      <c r="I135" s="202" t="s">
        <v>262</v>
      </c>
      <c r="J135" s="568" t="s">
        <v>263</v>
      </c>
      <c r="K135" s="568"/>
      <c r="L135" s="568"/>
      <c r="M135" s="568"/>
      <c r="N135" s="202" t="b">
        <f>IF(AND(N129,N130,N131,N132,N133,N134),TRUE,FALSE)</f>
        <v>1</v>
      </c>
      <c r="O135"/>
      <c r="P135"/>
      <c r="Q135"/>
      <c r="R135"/>
      <c r="S135"/>
      <c r="T135"/>
      <c r="U135"/>
    </row>
    <row r="136" spans="2:21" x14ac:dyDescent="0.3">
      <c r="B136"/>
      <c r="H136" s="176"/>
      <c r="O136"/>
      <c r="P136"/>
      <c r="Q136"/>
      <c r="R136"/>
      <c r="S136"/>
      <c r="T136"/>
      <c r="U136"/>
    </row>
    <row r="137" spans="2:21" x14ac:dyDescent="0.3">
      <c r="B137"/>
      <c r="C137"/>
      <c r="D137"/>
      <c r="E137"/>
      <c r="F137"/>
      <c r="G137"/>
      <c r="H137"/>
      <c r="O137"/>
      <c r="P137"/>
      <c r="Q137"/>
      <c r="R137"/>
      <c r="S137"/>
      <c r="T137"/>
      <c r="U137"/>
    </row>
    <row r="138" spans="2:21" x14ac:dyDescent="0.3">
      <c r="B138"/>
      <c r="C138"/>
      <c r="D138"/>
      <c r="E138"/>
      <c r="F138"/>
      <c r="G138"/>
      <c r="H138"/>
      <c r="O138"/>
      <c r="P138"/>
      <c r="Q138"/>
      <c r="R138"/>
      <c r="S138"/>
      <c r="T138"/>
      <c r="U138"/>
    </row>
    <row r="139" spans="2:21" x14ac:dyDescent="0.3">
      <c r="B139"/>
      <c r="C139"/>
      <c r="D139"/>
      <c r="E139"/>
      <c r="F139"/>
      <c r="G139"/>
      <c r="H139"/>
      <c r="O139"/>
      <c r="P139"/>
      <c r="Q139"/>
      <c r="R139"/>
      <c r="S139"/>
      <c r="T139"/>
      <c r="U139"/>
    </row>
    <row r="140" spans="2:21" x14ac:dyDescent="0.3">
      <c r="B140"/>
      <c r="R140"/>
      <c r="S140"/>
      <c r="T140"/>
      <c r="U140"/>
    </row>
  </sheetData>
  <mergeCells count="7">
    <mergeCell ref="J135:M135"/>
    <mergeCell ref="J129:M129"/>
    <mergeCell ref="J130:M130"/>
    <mergeCell ref="J131:M131"/>
    <mergeCell ref="J132:M132"/>
    <mergeCell ref="J133:M133"/>
    <mergeCell ref="J134:M134"/>
  </mergeCells>
  <phoneticPr fontId="32" type="noConversion"/>
  <conditionalFormatting sqref="N129:N135">
    <cfRule type="containsText" dxfId="3" priority="1" operator="containsText" text="epä">
      <formula>NOT(ISERROR(SEARCH("epä",N129)))</formula>
    </cfRule>
    <cfRule type="containsText" dxfId="2" priority="2" operator="containsText" text="tosi">
      <formula>NOT(ISERROR(SEARCH("tosi",N129)))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68FF-85D2-4EA6-B0EC-3589DDCBACBD}">
  <dimension ref="B3:V129"/>
  <sheetViews>
    <sheetView zoomScaleNormal="100" workbookViewId="0">
      <selection activeCell="L13" sqref="L13"/>
    </sheetView>
  </sheetViews>
  <sheetFormatPr defaultColWidth="9.140625" defaultRowHeight="14.25" x14ac:dyDescent="0.3"/>
  <cols>
    <col min="1" max="4" width="9.140625" style="121"/>
    <col min="5" max="5" width="9.140625" style="176"/>
    <col min="6" max="6" width="9.140625" style="121"/>
    <col min="7" max="7" width="9.140625" style="176"/>
    <col min="8" max="8" width="9.140625" style="121"/>
    <col min="9" max="9" width="6.7109375" style="121" customWidth="1"/>
    <col min="10" max="11" width="8.28515625" style="121" customWidth="1"/>
    <col min="12" max="12" width="8.7109375" style="121" customWidth="1"/>
    <col min="13" max="13" width="8.28515625" style="121" customWidth="1"/>
    <col min="14" max="16384" width="9.140625" style="121"/>
  </cols>
  <sheetData>
    <row r="3" spans="3:12" x14ac:dyDescent="0.3">
      <c r="C3" s="408" t="s">
        <v>423</v>
      </c>
    </row>
    <row r="4" spans="3:12" x14ac:dyDescent="0.3">
      <c r="C4" s="6" t="s">
        <v>219</v>
      </c>
      <c r="I4" s="203" t="s">
        <v>220</v>
      </c>
    </row>
    <row r="5" spans="3:12" x14ac:dyDescent="0.3">
      <c r="I5" s="161" t="s">
        <v>222</v>
      </c>
    </row>
    <row r="6" spans="3:12" x14ac:dyDescent="0.3">
      <c r="C6" s="174" t="s">
        <v>2</v>
      </c>
      <c r="I6" s="161" t="s">
        <v>245</v>
      </c>
    </row>
    <row r="8" spans="3:12" ht="15" thickBot="1" x14ac:dyDescent="0.35">
      <c r="C8" s="174" t="s">
        <v>296</v>
      </c>
      <c r="E8" s="176" t="s">
        <v>218</v>
      </c>
      <c r="I8" s="178"/>
      <c r="J8" s="179" t="s">
        <v>6</v>
      </c>
      <c r="K8" s="180" t="s">
        <v>7</v>
      </c>
      <c r="L8" s="181" t="s">
        <v>8</v>
      </c>
    </row>
    <row r="9" spans="3:12" ht="15" thickBot="1" x14ac:dyDescent="0.35">
      <c r="C9" s="212" t="s">
        <v>215</v>
      </c>
      <c r="D9" s="213" t="s">
        <v>216</v>
      </c>
      <c r="E9" s="214" t="s">
        <v>217</v>
      </c>
      <c r="F9" s="215" t="s">
        <v>214</v>
      </c>
      <c r="G9" s="216" t="s">
        <v>1</v>
      </c>
      <c r="I9" s="177" t="s">
        <v>173</v>
      </c>
      <c r="J9" s="182">
        <f t="array" ref="J9:L9">LINEST(D10:D21,C10:C21^{1,2})</f>
        <v>-2.2543802651506312E-2</v>
      </c>
      <c r="K9" s="182">
        <v>-0.86276553201244643</v>
      </c>
      <c r="L9" s="189">
        <v>544.39114393013733</v>
      </c>
    </row>
    <row r="10" spans="3:12" x14ac:dyDescent="0.3">
      <c r="C10" s="217">
        <v>134.81056073716101</v>
      </c>
      <c r="D10" s="218">
        <v>12.794884605111477</v>
      </c>
      <c r="E10" s="219">
        <v>240.50764123059335</v>
      </c>
      <c r="F10" s="220">
        <v>0</v>
      </c>
      <c r="G10" s="221">
        <v>1.784041546266609</v>
      </c>
      <c r="I10" s="175" t="s">
        <v>221</v>
      </c>
      <c r="J10" s="183">
        <f t="array" ref="J10:L10">LINEST(D25:D34,C25:C34^{1,2})</f>
        <v>-2.156091588249302E-2</v>
      </c>
      <c r="K10" s="183">
        <v>-0.50836214907878396</v>
      </c>
      <c r="L10" s="190">
        <v>450.35484974185806</v>
      </c>
    </row>
    <row r="11" spans="3:12" x14ac:dyDescent="0.3">
      <c r="C11" s="222">
        <v>125.93196939665663</v>
      </c>
      <c r="D11" s="218">
        <v>54.692050835468805</v>
      </c>
      <c r="E11" s="219">
        <v>243.41395650442234</v>
      </c>
      <c r="F11" s="220">
        <v>0</v>
      </c>
      <c r="G11" s="221">
        <v>1.932900419731582</v>
      </c>
      <c r="I11" s="175" t="s">
        <v>172</v>
      </c>
      <c r="J11" s="183">
        <f t="array" ref="J11:L11">LINEST(D38:D45,C38:C45^{1,2})</f>
        <v>-1.8274772071869078E-2</v>
      </c>
      <c r="K11" s="183">
        <v>-0.64263219716121478</v>
      </c>
      <c r="L11" s="190">
        <v>251.08821609406229</v>
      </c>
    </row>
    <row r="12" spans="3:12" x14ac:dyDescent="0.3">
      <c r="C12" s="222">
        <v>120.72635150889738</v>
      </c>
      <c r="D12" s="218">
        <v>104.34823402086612</v>
      </c>
      <c r="E12" s="219">
        <v>242.36120391775216</v>
      </c>
      <c r="F12" s="220">
        <v>0</v>
      </c>
      <c r="G12" s="221">
        <v>2.0075252907803685</v>
      </c>
      <c r="I12" s="175" t="s">
        <v>171</v>
      </c>
      <c r="J12" s="183">
        <f t="array" ref="J12:L12">LINEST(D50:D55,C50:C55^{1,2})</f>
        <v>-1.6793781199363231E-2</v>
      </c>
      <c r="K12" s="183">
        <v>-0.57772656118398413</v>
      </c>
      <c r="L12" s="190">
        <v>107.75560660312908</v>
      </c>
    </row>
    <row r="13" spans="3:12" x14ac:dyDescent="0.3">
      <c r="C13" s="222">
        <v>115.54056288154985</v>
      </c>
      <c r="D13" s="218">
        <v>157.59765311046255</v>
      </c>
      <c r="E13" s="219">
        <v>239.84469800856118</v>
      </c>
      <c r="F13" s="220">
        <v>0</v>
      </c>
      <c r="G13" s="221">
        <v>2.0758484468735516</v>
      </c>
      <c r="I13" s="175" t="s">
        <v>170</v>
      </c>
      <c r="J13" s="183">
        <f t="array" ref="J13:L13">LINEST(D60:D63,C60:C63^{1,2})</f>
        <v>2.7976299930670048E-3</v>
      </c>
      <c r="K13" s="183">
        <v>-1.230049273156069</v>
      </c>
      <c r="L13" s="190">
        <v>25.571819977352096</v>
      </c>
    </row>
    <row r="14" spans="3:12" x14ac:dyDescent="0.3">
      <c r="C14" s="222">
        <v>109.0487113247069</v>
      </c>
      <c r="D14" s="218">
        <v>209.02383185338846</v>
      </c>
      <c r="E14" s="219">
        <v>239.73302654973796</v>
      </c>
      <c r="F14" s="220">
        <v>0</v>
      </c>
      <c r="G14" s="221">
        <v>2.1984031139616249</v>
      </c>
      <c r="I14" s="175"/>
      <c r="J14" s="183"/>
      <c r="K14" s="183"/>
      <c r="L14" s="190"/>
    </row>
    <row r="15" spans="3:12" x14ac:dyDescent="0.3">
      <c r="C15" s="222">
        <v>99.307102192884216</v>
      </c>
      <c r="D15" s="218">
        <v>254.91463885671212</v>
      </c>
      <c r="E15" s="219">
        <v>230.02514477427312</v>
      </c>
      <c r="F15" s="220">
        <v>0</v>
      </c>
      <c r="G15" s="221">
        <v>2.3163010469029213</v>
      </c>
      <c r="I15" s="175"/>
      <c r="J15" s="183"/>
      <c r="K15" s="183"/>
      <c r="L15" s="190"/>
    </row>
    <row r="16" spans="3:12" x14ac:dyDescent="0.3">
      <c r="C16" s="222">
        <v>88.260192216411454</v>
      </c>
      <c r="D16" s="218">
        <v>298.84514412218613</v>
      </c>
      <c r="E16" s="219">
        <v>212.6203047008469</v>
      </c>
      <c r="F16" s="220">
        <v>0</v>
      </c>
      <c r="G16" s="221">
        <v>2.4090170139161722</v>
      </c>
    </row>
    <row r="17" spans="3:10" x14ac:dyDescent="0.3">
      <c r="C17" s="222">
        <v>72.164255339383146</v>
      </c>
      <c r="D17" s="218">
        <v>349.68387922121008</v>
      </c>
      <c r="E17" s="219">
        <v>200.5365575742579</v>
      </c>
      <c r="F17" s="220">
        <v>0</v>
      </c>
      <c r="G17" s="221">
        <v>2.7788904164693355</v>
      </c>
    </row>
    <row r="18" spans="3:10" x14ac:dyDescent="0.3">
      <c r="C18" s="222">
        <v>56.992237273639972</v>
      </c>
      <c r="D18" s="218">
        <v>400.31554032623444</v>
      </c>
      <c r="E18" s="219">
        <v>189.81611661535669</v>
      </c>
      <c r="F18" s="220">
        <v>0</v>
      </c>
      <c r="G18" s="221">
        <v>3.3305608920734606</v>
      </c>
      <c r="I18" s="203" t="s">
        <v>265</v>
      </c>
    </row>
    <row r="19" spans="3:10" x14ac:dyDescent="0.3">
      <c r="C19" s="222">
        <v>44.63584154824931</v>
      </c>
      <c r="D19" s="218">
        <v>455.79561191526193</v>
      </c>
      <c r="E19" s="219">
        <v>179.96287170267507</v>
      </c>
      <c r="F19" s="220">
        <v>0</v>
      </c>
      <c r="G19" s="221">
        <v>4.0318019210670286</v>
      </c>
      <c r="I19" s="184" t="s">
        <v>224</v>
      </c>
    </row>
    <row r="20" spans="3:10" x14ac:dyDescent="0.3">
      <c r="C20" s="223">
        <v>31.758748067784438</v>
      </c>
      <c r="D20" s="218">
        <v>498.57576659000449</v>
      </c>
      <c r="E20" s="219">
        <v>169.89166067556346</v>
      </c>
      <c r="F20" s="220">
        <v>0</v>
      </c>
      <c r="G20" s="221">
        <v>5.3494445156639792</v>
      </c>
      <c r="I20" s="11">
        <f>Tulostus!L36</f>
        <v>84</v>
      </c>
      <c r="J20" s="174" t="s">
        <v>223</v>
      </c>
    </row>
    <row r="21" spans="3:10" ht="15" thickBot="1" x14ac:dyDescent="0.35">
      <c r="C21" s="224">
        <v>11.919642769408068</v>
      </c>
      <c r="D21" s="225">
        <v>539.51380616799418</v>
      </c>
      <c r="E21" s="226">
        <v>162.90006195423484</v>
      </c>
      <c r="F21" s="227">
        <v>0</v>
      </c>
      <c r="G21" s="228">
        <v>13.666522152183971</v>
      </c>
      <c r="I21" s="11">
        <f>Tulostus!L37</f>
        <v>50</v>
      </c>
      <c r="J21" s="174" t="s">
        <v>11</v>
      </c>
    </row>
    <row r="23" spans="3:10" x14ac:dyDescent="0.3">
      <c r="C23" s="174" t="s">
        <v>297</v>
      </c>
      <c r="I23" s="184" t="s">
        <v>225</v>
      </c>
    </row>
    <row r="24" spans="3:10" ht="15" thickBot="1" x14ac:dyDescent="0.35">
      <c r="C24" s="212" t="s">
        <v>215</v>
      </c>
      <c r="D24" s="213" t="s">
        <v>216</v>
      </c>
      <c r="E24" s="214" t="s">
        <v>217</v>
      </c>
      <c r="F24" s="215" t="s">
        <v>214</v>
      </c>
      <c r="G24" s="216" t="s">
        <v>1</v>
      </c>
      <c r="I24" s="161" t="s">
        <v>222</v>
      </c>
    </row>
    <row r="25" spans="3:10" x14ac:dyDescent="0.3">
      <c r="C25" s="217">
        <v>129.68035832255484</v>
      </c>
      <c r="D25" s="218">
        <v>9.5153864882562011</v>
      </c>
      <c r="E25" s="219">
        <v>230.11031003201518</v>
      </c>
      <c r="F25" s="220">
        <v>0</v>
      </c>
      <c r="G25" s="221">
        <v>1.7744422749022657</v>
      </c>
      <c r="I25" s="161" t="s">
        <v>244</v>
      </c>
    </row>
    <row r="26" spans="3:10" x14ac:dyDescent="0.3">
      <c r="C26" s="222">
        <v>123.22104420982375</v>
      </c>
      <c r="D26" s="218">
        <v>55.555001598839318</v>
      </c>
      <c r="E26" s="219">
        <v>222.68373181752003</v>
      </c>
      <c r="F26" s="220">
        <v>0</v>
      </c>
      <c r="G26" s="221">
        <v>1.8071891310897255</v>
      </c>
      <c r="I26" s="188" t="s">
        <v>229</v>
      </c>
      <c r="J26" s="186">
        <f>I21/I20^2</f>
        <v>7.0861678004535151E-3</v>
      </c>
    </row>
    <row r="27" spans="3:10" x14ac:dyDescent="0.3">
      <c r="C27" s="222">
        <v>116.1013219993694</v>
      </c>
      <c r="D27" s="218">
        <v>104.61709906595799</v>
      </c>
      <c r="E27" s="219">
        <v>214.3990222527473</v>
      </c>
      <c r="F27" s="220">
        <v>0</v>
      </c>
      <c r="G27" s="221">
        <v>1.8466544442440698</v>
      </c>
    </row>
    <row r="28" spans="3:10" x14ac:dyDescent="0.3">
      <c r="C28" s="222">
        <v>107.98266688561468</v>
      </c>
      <c r="D28" s="218">
        <v>155.570914532318</v>
      </c>
      <c r="E28" s="219">
        <v>203.77151061234903</v>
      </c>
      <c r="F28" s="220">
        <v>0</v>
      </c>
      <c r="G28" s="221">
        <v>1.8870761066514763</v>
      </c>
    </row>
    <row r="29" spans="3:10" x14ac:dyDescent="0.3">
      <c r="C29" s="222">
        <v>98.255539492614972</v>
      </c>
      <c r="D29" s="218">
        <v>205.69574873068683</v>
      </c>
      <c r="E29" s="219">
        <v>189.85068004818271</v>
      </c>
      <c r="F29" s="220">
        <v>0</v>
      </c>
      <c r="G29" s="221">
        <v>1.9322135019415589</v>
      </c>
    </row>
    <row r="30" spans="3:10" x14ac:dyDescent="0.3">
      <c r="C30" s="222">
        <v>85.997883195410296</v>
      </c>
      <c r="D30" s="218">
        <v>252.19469369010244</v>
      </c>
      <c r="E30" s="219">
        <v>173.69183452102175</v>
      </c>
      <c r="F30" s="220">
        <v>0</v>
      </c>
      <c r="G30" s="221">
        <v>2.0197222078867596</v>
      </c>
      <c r="I30" s="203" t="s">
        <v>266</v>
      </c>
    </row>
    <row r="31" spans="3:10" x14ac:dyDescent="0.3">
      <c r="C31" s="222">
        <v>69.473491112425279</v>
      </c>
      <c r="D31" s="218">
        <v>308.06543602697673</v>
      </c>
      <c r="E31" s="219">
        <v>153.19125865630139</v>
      </c>
      <c r="F31" s="220">
        <v>0</v>
      </c>
      <c r="G31" s="221">
        <v>2.2050318215389533</v>
      </c>
      <c r="I31" s="121" t="s">
        <v>230</v>
      </c>
    </row>
    <row r="32" spans="3:10" x14ac:dyDescent="0.3">
      <c r="C32" s="222">
        <v>50.409265130725586</v>
      </c>
      <c r="D32" s="218">
        <v>345.4044160274903</v>
      </c>
      <c r="E32" s="219">
        <v>135.41466396577437</v>
      </c>
      <c r="F32" s="220">
        <v>0</v>
      </c>
      <c r="G32" s="221">
        <v>2.6863050594886784</v>
      </c>
    </row>
    <row r="33" spans="3:16" x14ac:dyDescent="0.3">
      <c r="C33" s="222">
        <v>37.218220807116936</v>
      </c>
      <c r="D33" s="218">
        <v>400.32032352770807</v>
      </c>
      <c r="E33" s="219">
        <v>115.90530450310483</v>
      </c>
      <c r="F33" s="220">
        <v>0</v>
      </c>
      <c r="G33" s="221">
        <v>3.1142086319435562</v>
      </c>
      <c r="I33" s="121" t="s">
        <v>226</v>
      </c>
    </row>
    <row r="34" spans="3:16" ht="15" thickBot="1" x14ac:dyDescent="0.35">
      <c r="C34" s="224">
        <v>18.772037713731756</v>
      </c>
      <c r="D34" s="229">
        <v>445.13213348370743</v>
      </c>
      <c r="E34" s="230">
        <v>104.00466346321193</v>
      </c>
      <c r="F34" s="231">
        <v>0</v>
      </c>
      <c r="G34" s="232">
        <v>5.5404035006350139</v>
      </c>
    </row>
    <row r="36" spans="3:16" x14ac:dyDescent="0.3">
      <c r="C36" s="174" t="s">
        <v>298</v>
      </c>
    </row>
    <row r="37" spans="3:16" ht="15" thickBot="1" x14ac:dyDescent="0.35">
      <c r="C37" s="212" t="s">
        <v>215</v>
      </c>
      <c r="D37" s="213" t="s">
        <v>216</v>
      </c>
      <c r="E37" s="214" t="s">
        <v>217</v>
      </c>
      <c r="F37" s="215" t="s">
        <v>214</v>
      </c>
      <c r="G37" s="216" t="s">
        <v>1</v>
      </c>
      <c r="M37" s="174" t="s">
        <v>234</v>
      </c>
      <c r="O37" s="174" t="s">
        <v>184</v>
      </c>
      <c r="P37" s="121" t="s">
        <v>235</v>
      </c>
    </row>
    <row r="38" spans="3:16" x14ac:dyDescent="0.3">
      <c r="C38" s="217">
        <v>96.737715035685184</v>
      </c>
      <c r="D38" s="218">
        <v>12.325798467934597</v>
      </c>
      <c r="E38" s="219">
        <v>80.238802136827502</v>
      </c>
      <c r="F38" s="220">
        <v>0</v>
      </c>
      <c r="G38" s="221">
        <v>0.82944694431978816</v>
      </c>
      <c r="I38" s="175" t="s">
        <v>237</v>
      </c>
      <c r="J38" s="175" t="s">
        <v>231</v>
      </c>
      <c r="K38" s="175" t="s">
        <v>232</v>
      </c>
      <c r="L38" s="175" t="s">
        <v>233</v>
      </c>
      <c r="M38" s="175" t="s">
        <v>227</v>
      </c>
      <c r="N38" s="175" t="s">
        <v>228</v>
      </c>
      <c r="O38" s="175" t="s">
        <v>228</v>
      </c>
      <c r="P38" s="175" t="s">
        <v>236</v>
      </c>
    </row>
    <row r="39" spans="3:16" x14ac:dyDescent="0.3">
      <c r="C39" s="222">
        <v>91.707389776191292</v>
      </c>
      <c r="D39" s="218">
        <v>37.477889157505558</v>
      </c>
      <c r="E39" s="219">
        <v>76.166908302033619</v>
      </c>
      <c r="F39" s="220">
        <v>0</v>
      </c>
      <c r="G39" s="221">
        <v>0.83054275656428911</v>
      </c>
      <c r="I39" s="175">
        <v>10</v>
      </c>
      <c r="J39" s="183">
        <f t="shared" ref="J39:J43" si="0">J9-$J$26</f>
        <v>-2.9629970451959829E-2</v>
      </c>
      <c r="K39" s="183">
        <f>K9</f>
        <v>-0.86276553201244643</v>
      </c>
      <c r="L39" s="183">
        <f>L9</f>
        <v>544.39114393013733</v>
      </c>
      <c r="M39" s="190">
        <f>(-K39+SQRT(K39^2-4*J39*L39))/(2*J39)</f>
        <v>-150.88564638824653</v>
      </c>
      <c r="N39" s="190">
        <f>(-K39-SQRT(K39^2-4*J39*L39))/(2*J39)</f>
        <v>121.76764462002743</v>
      </c>
      <c r="O39" s="193">
        <f>IF(M39&lt;0,N39,M39)</f>
        <v>121.76764462002743</v>
      </c>
      <c r="P39" s="194">
        <f t="shared" ref="P39:P42" si="1">$J$26*O39^2</f>
        <v>105.06915586953866</v>
      </c>
    </row>
    <row r="40" spans="3:16" x14ac:dyDescent="0.3">
      <c r="C40" s="222">
        <v>84.17554208514953</v>
      </c>
      <c r="D40" s="218">
        <v>73.241859629517933</v>
      </c>
      <c r="E40" s="219">
        <v>71.458978203571505</v>
      </c>
      <c r="F40" s="220">
        <v>0</v>
      </c>
      <c r="G40" s="221">
        <v>0.84892804291400559</v>
      </c>
      <c r="I40" s="175">
        <v>8</v>
      </c>
      <c r="J40" s="183">
        <f t="shared" si="0"/>
        <v>-2.8647083682946536E-2</v>
      </c>
      <c r="K40" s="183">
        <f t="shared" ref="K40:L40" si="2">K10</f>
        <v>-0.50836214907878396</v>
      </c>
      <c r="L40" s="183">
        <f t="shared" si="2"/>
        <v>450.35484974185806</v>
      </c>
      <c r="M40" s="190">
        <f t="shared" ref="M40" si="3">(-K40+SQRT(K40^2-4*J40*L40))/(2*J40)</f>
        <v>-134.5689826813188</v>
      </c>
      <c r="N40" s="190">
        <f t="shared" ref="N40" si="4">(-K40-SQRT(K40^2-4*J40*L40))/(2*J40)</f>
        <v>116.82329677817015</v>
      </c>
      <c r="O40" s="193">
        <f t="shared" ref="O40" si="5">IF(M40&lt;0,N40,M40)</f>
        <v>116.82329677817015</v>
      </c>
      <c r="P40" s="194">
        <f t="shared" si="1"/>
        <v>96.709769487814768</v>
      </c>
    </row>
    <row r="41" spans="3:16" x14ac:dyDescent="0.3">
      <c r="C41" s="222">
        <v>74.867345421641474</v>
      </c>
      <c r="D41" s="218">
        <v>107.05477890147286</v>
      </c>
      <c r="E41" s="219">
        <v>65.013194417493352</v>
      </c>
      <c r="F41" s="220">
        <v>0</v>
      </c>
      <c r="G41" s="221">
        <v>0.86837851738096172</v>
      </c>
      <c r="I41" s="175">
        <v>6</v>
      </c>
      <c r="J41" s="183">
        <f t="shared" si="0"/>
        <v>-2.5360939872322595E-2</v>
      </c>
      <c r="K41" s="183">
        <f t="shared" ref="K41:L41" si="6">K11</f>
        <v>-0.64263219716121478</v>
      </c>
      <c r="L41" s="183">
        <f t="shared" si="6"/>
        <v>251.08821609406229</v>
      </c>
      <c r="M41" s="190">
        <f t="shared" ref="M41:M42" si="7">(-K41+SQRT(K41^2-4*J41*L41))/(2*J41)</f>
        <v>-112.97480753426068</v>
      </c>
      <c r="N41" s="190">
        <f t="shared" ref="N41:N42" si="8">(-K41-SQRT(K41^2-4*J41*L41))/(2*J41)</f>
        <v>87.635360321480348</v>
      </c>
      <c r="O41" s="193">
        <f t="shared" ref="O41:O42" si="9">IF(M41&lt;0,N41,M41)</f>
        <v>87.635360321480348</v>
      </c>
      <c r="P41" s="194">
        <f t="shared" si="1"/>
        <v>54.421459599459276</v>
      </c>
    </row>
    <row r="42" spans="3:16" x14ac:dyDescent="0.3">
      <c r="C42" s="222">
        <v>61.927152896059475</v>
      </c>
      <c r="D42" s="218">
        <v>140.35742367028496</v>
      </c>
      <c r="E42" s="219">
        <v>58.195122833190482</v>
      </c>
      <c r="F42" s="220">
        <v>0</v>
      </c>
      <c r="G42" s="221">
        <v>0.93973515835399457</v>
      </c>
      <c r="I42" s="175">
        <v>4</v>
      </c>
      <c r="J42" s="183">
        <f t="shared" si="0"/>
        <v>-2.3879948999816748E-2</v>
      </c>
      <c r="K42" s="183">
        <f t="shared" ref="K42:L43" si="10">K12</f>
        <v>-0.57772656118398413</v>
      </c>
      <c r="L42" s="183">
        <f t="shared" si="10"/>
        <v>107.75560660312908</v>
      </c>
      <c r="M42" s="190">
        <f t="shared" si="7"/>
        <v>-80.351245396654548</v>
      </c>
      <c r="N42" s="190">
        <f t="shared" si="8"/>
        <v>56.158289155901365</v>
      </c>
      <c r="O42" s="193">
        <f t="shared" si="9"/>
        <v>56.158289155901365</v>
      </c>
      <c r="P42" s="194">
        <f t="shared" si="1"/>
        <v>22.348026083601397</v>
      </c>
    </row>
    <row r="43" spans="3:16" x14ac:dyDescent="0.3">
      <c r="C43" s="222">
        <v>45.661770987504838</v>
      </c>
      <c r="D43" s="218">
        <v>178.06502836546915</v>
      </c>
      <c r="E43" s="219">
        <v>52.103463490973226</v>
      </c>
      <c r="F43" s="220">
        <v>0</v>
      </c>
      <c r="G43" s="221">
        <v>1.1410740837281832</v>
      </c>
      <c r="I43" s="175">
        <v>2</v>
      </c>
      <c r="J43" s="183">
        <f t="shared" si="0"/>
        <v>-4.2885378073865103E-3</v>
      </c>
      <c r="K43" s="183">
        <f t="shared" si="10"/>
        <v>-1.230049273156069</v>
      </c>
      <c r="L43" s="183">
        <f t="shared" si="10"/>
        <v>25.571819977352096</v>
      </c>
      <c r="M43" s="190">
        <f t="shared" ref="M43" si="11">(-K43+SQRT(K43^2-4*J43*L43))/(2*J43)</f>
        <v>-306.29042616544274</v>
      </c>
      <c r="N43" s="190">
        <f t="shared" ref="N43" si="12">(-K43-SQRT(K43^2-4*J43*L43))/(2*J43)</f>
        <v>19.467894010671628</v>
      </c>
      <c r="O43" s="193">
        <f t="shared" ref="O43" si="13">IF(M43&lt;0,N43,M43)</f>
        <v>19.467894010671628</v>
      </c>
      <c r="P43" s="194">
        <f t="shared" ref="P43" si="14">$J$26*O43^2</f>
        <v>2.6856497818221676</v>
      </c>
    </row>
    <row r="44" spans="3:16" x14ac:dyDescent="0.3">
      <c r="C44" s="222">
        <v>31.097024338328744</v>
      </c>
      <c r="D44" s="218">
        <v>210.98729998106421</v>
      </c>
      <c r="E44" s="219">
        <v>47.192677286065589</v>
      </c>
      <c r="F44" s="220">
        <v>0</v>
      </c>
      <c r="G44" s="221">
        <v>1.517594634541868</v>
      </c>
      <c r="I44" s="175"/>
      <c r="J44" s="183"/>
      <c r="K44" s="183"/>
      <c r="L44" s="183"/>
      <c r="M44" s="190"/>
      <c r="N44" s="190"/>
      <c r="O44" s="193"/>
      <c r="P44" s="194"/>
    </row>
    <row r="45" spans="3:16" ht="15" thickBot="1" x14ac:dyDescent="0.35">
      <c r="C45" s="224">
        <v>13.409746247332366</v>
      </c>
      <c r="D45" s="225">
        <v>242.37003903961963</v>
      </c>
      <c r="E45" s="226">
        <v>31.449548468657017</v>
      </c>
      <c r="F45" s="227">
        <v>0</v>
      </c>
      <c r="G45" s="228">
        <v>2.3452754353881495</v>
      </c>
      <c r="I45" s="175"/>
      <c r="J45" s="183"/>
      <c r="K45" s="183"/>
      <c r="L45" s="183"/>
      <c r="M45" s="190"/>
      <c r="N45" s="190"/>
      <c r="O45" s="193"/>
      <c r="P45" s="194"/>
    </row>
    <row r="47" spans="3:16" x14ac:dyDescent="0.3">
      <c r="I47" s="6" t="s">
        <v>250</v>
      </c>
    </row>
    <row r="48" spans="3:16" x14ac:dyDescent="0.3">
      <c r="C48" s="174" t="s">
        <v>299</v>
      </c>
      <c r="I48" s="121" t="s">
        <v>238</v>
      </c>
    </row>
    <row r="49" spans="3:16" ht="15" thickBot="1" x14ac:dyDescent="0.35">
      <c r="C49" s="212" t="s">
        <v>215</v>
      </c>
      <c r="D49" s="213" t="s">
        <v>216</v>
      </c>
      <c r="E49" s="214" t="s">
        <v>217</v>
      </c>
      <c r="F49" s="215" t="s">
        <v>214</v>
      </c>
      <c r="G49" s="216" t="s">
        <v>1</v>
      </c>
    </row>
    <row r="50" spans="3:16" x14ac:dyDescent="0.3">
      <c r="C50" s="217">
        <v>62.49389282333189</v>
      </c>
      <c r="D50" s="218">
        <v>4.1632350634522295</v>
      </c>
      <c r="E50" s="219">
        <v>36.086287967701104</v>
      </c>
      <c r="F50" s="220">
        <v>0</v>
      </c>
      <c r="G50" s="221">
        <v>0.57743703164268889</v>
      </c>
      <c r="I50" s="121" t="s">
        <v>241</v>
      </c>
    </row>
    <row r="51" spans="3:16" x14ac:dyDescent="0.3">
      <c r="C51" s="222">
        <v>57.097449384090197</v>
      </c>
      <c r="D51" s="218">
        <v>20.952781312640656</v>
      </c>
      <c r="E51" s="219">
        <v>33.887253739715284</v>
      </c>
      <c r="F51" s="220">
        <v>0</v>
      </c>
      <c r="G51" s="221">
        <v>0.59349855563176401</v>
      </c>
      <c r="I51" s="161" t="s">
        <v>242</v>
      </c>
    </row>
    <row r="52" spans="3:16" x14ac:dyDescent="0.3">
      <c r="C52" s="222">
        <v>49.44028991322643</v>
      </c>
      <c r="D52" s="218">
        <v>41.05426392515708</v>
      </c>
      <c r="E52" s="219">
        <v>31.118848996211444</v>
      </c>
      <c r="F52" s="220">
        <v>0</v>
      </c>
      <c r="G52" s="221">
        <v>0.62942286646839474</v>
      </c>
      <c r="I52" s="161" t="s">
        <v>248</v>
      </c>
      <c r="M52" s="121" t="s">
        <v>246</v>
      </c>
    </row>
    <row r="53" spans="3:16" x14ac:dyDescent="0.3">
      <c r="C53" s="222">
        <v>38.081170762873022</v>
      </c>
      <c r="D53" s="218">
        <v>60.227763958563088</v>
      </c>
      <c r="E53" s="219">
        <v>28.023559873739693</v>
      </c>
      <c r="F53" s="220">
        <v>0</v>
      </c>
      <c r="G53" s="221">
        <v>0.7358901869965897</v>
      </c>
      <c r="I53" s="187" t="s">
        <v>243</v>
      </c>
      <c r="J53" s="175" t="s">
        <v>6</v>
      </c>
      <c r="K53" s="175" t="s">
        <v>7</v>
      </c>
      <c r="M53" s="204" t="s">
        <v>247</v>
      </c>
      <c r="N53" s="121" t="str">
        <f>IF(I20&lt;O40,I54,I55)</f>
        <v>0–8 V</v>
      </c>
    </row>
    <row r="54" spans="3:16" x14ac:dyDescent="0.3">
      <c r="C54" s="222">
        <v>25.420232875638565</v>
      </c>
      <c r="D54" s="218">
        <v>80.344286597624119</v>
      </c>
      <c r="E54" s="219">
        <v>24.730932581798253</v>
      </c>
      <c r="F54" s="220">
        <v>0</v>
      </c>
      <c r="G54" s="221">
        <v>0.97288379311029438</v>
      </c>
      <c r="I54" s="187" t="s">
        <v>239</v>
      </c>
      <c r="J54" s="175">
        <f t="array" ref="J54:K54">LINEST(O40:O43,I40:I43)</f>
        <v>16.177163973403729</v>
      </c>
      <c r="K54" s="175">
        <v>-10.864609800462787</v>
      </c>
      <c r="M54" s="204"/>
    </row>
    <row r="55" spans="3:16" ht="15" thickBot="1" x14ac:dyDescent="0.35">
      <c r="C55" s="224">
        <v>12.529225640542576</v>
      </c>
      <c r="D55" s="229">
        <v>98.982785363303719</v>
      </c>
      <c r="E55" s="230">
        <v>22.368636711797006</v>
      </c>
      <c r="F55" s="231">
        <v>0</v>
      </c>
      <c r="G55" s="232">
        <v>1.7853167748384757</v>
      </c>
      <c r="I55" s="187" t="s">
        <v>240</v>
      </c>
      <c r="J55" s="175">
        <f t="array" ref="J55:K55">LINEST(O39:O40,I39:I40)</f>
        <v>2.4721739209286406</v>
      </c>
      <c r="K55" s="175">
        <v>97.045905410741028</v>
      </c>
      <c r="M55" s="205" t="s">
        <v>249</v>
      </c>
      <c r="N55" s="198">
        <f>IF(N53=I54,(I20-K54)/J54,(I20-K55)/J55)</f>
        <v>5.8641063388135368</v>
      </c>
      <c r="O55" s="196"/>
    </row>
    <row r="56" spans="3:16" x14ac:dyDescent="0.3">
      <c r="M56" s="121" t="s">
        <v>341</v>
      </c>
      <c r="N56" s="200">
        <f>IF(N79,N55,"-")</f>
        <v>5.8641063388135368</v>
      </c>
    </row>
    <row r="58" spans="3:16" x14ac:dyDescent="0.3">
      <c r="C58" s="174" t="s">
        <v>352</v>
      </c>
      <c r="I58" s="6" t="s">
        <v>267</v>
      </c>
    </row>
    <row r="59" spans="3:16" ht="15" thickBot="1" x14ac:dyDescent="0.35">
      <c r="C59" s="212" t="s">
        <v>215</v>
      </c>
      <c r="D59" s="213" t="s">
        <v>216</v>
      </c>
      <c r="E59" s="214" t="s">
        <v>217</v>
      </c>
      <c r="F59" s="215" t="s">
        <v>214</v>
      </c>
      <c r="G59" s="216" t="s">
        <v>1</v>
      </c>
      <c r="I59" s="121" t="s">
        <v>260</v>
      </c>
      <c r="N59" s="121" t="s">
        <v>268</v>
      </c>
    </row>
    <row r="60" spans="3:16" x14ac:dyDescent="0.3">
      <c r="C60" s="217">
        <v>18.247787529206494</v>
      </c>
      <c r="D60" s="218">
        <v>4.1116662381464115</v>
      </c>
      <c r="E60" s="219">
        <v>10.488366058468591</v>
      </c>
      <c r="F60" s="220">
        <v>0</v>
      </c>
      <c r="G60" s="221">
        <v>0.57477467017201056</v>
      </c>
      <c r="I60" s="187" t="s">
        <v>11</v>
      </c>
      <c r="J60" s="208">
        <v>530</v>
      </c>
      <c r="K60" s="199"/>
      <c r="N60" s="187" t="s">
        <v>11</v>
      </c>
      <c r="O60" s="208">
        <v>40</v>
      </c>
      <c r="P60" s="199"/>
    </row>
    <row r="61" spans="3:16" x14ac:dyDescent="0.3">
      <c r="C61" s="222">
        <v>13.150250569125145</v>
      </c>
      <c r="D61" s="218">
        <v>9.6866677426812604</v>
      </c>
      <c r="E61" s="219">
        <v>10.231773748430314</v>
      </c>
      <c r="F61" s="220">
        <v>0</v>
      </c>
      <c r="G61" s="221">
        <v>0.77806682805368088</v>
      </c>
      <c r="I61" s="187" t="s">
        <v>10</v>
      </c>
      <c r="J61" s="208">
        <v>25</v>
      </c>
      <c r="N61" s="187" t="s">
        <v>10</v>
      </c>
      <c r="O61" s="208">
        <v>105</v>
      </c>
    </row>
    <row r="62" spans="3:16" x14ac:dyDescent="0.3">
      <c r="C62" s="222">
        <v>9.0611399740344343</v>
      </c>
      <c r="D62" s="218">
        <v>14.861566772660328</v>
      </c>
      <c r="E62" s="219">
        <v>10.087876878391542</v>
      </c>
      <c r="F62" s="220">
        <v>0</v>
      </c>
      <c r="G62" s="221">
        <v>1.1133121116437139</v>
      </c>
      <c r="I62" s="121" t="s">
        <v>261</v>
      </c>
      <c r="J62" s="200">
        <f>J60/J61^2</f>
        <v>0.84799999999999998</v>
      </c>
      <c r="N62" s="121" t="s">
        <v>261</v>
      </c>
      <c r="O62" s="206">
        <f>O60/O61^2</f>
        <v>3.6281179138321997E-3</v>
      </c>
    </row>
    <row r="63" spans="3:16" x14ac:dyDescent="0.3">
      <c r="C63" s="222">
        <v>4.5965747636739067</v>
      </c>
      <c r="D63" s="218">
        <v>19.910741525302992</v>
      </c>
      <c r="E63" s="219">
        <v>9.8440438588154571</v>
      </c>
      <c r="F63" s="220">
        <v>0</v>
      </c>
      <c r="G63" s="221">
        <v>2.1416042085536326</v>
      </c>
    </row>
    <row r="64" spans="3:16" x14ac:dyDescent="0.3">
      <c r="I64" s="121" t="s">
        <v>272</v>
      </c>
      <c r="N64" s="121" t="s">
        <v>273</v>
      </c>
    </row>
    <row r="65" spans="3:15" ht="15" thickBot="1" x14ac:dyDescent="0.35">
      <c r="I65" s="178" t="s">
        <v>223</v>
      </c>
      <c r="J65" s="178" t="s">
        <v>11</v>
      </c>
      <c r="N65" s="178" t="s">
        <v>223</v>
      </c>
      <c r="O65" s="178" t="s">
        <v>11</v>
      </c>
    </row>
    <row r="66" spans="3:15" x14ac:dyDescent="0.3">
      <c r="I66" s="191">
        <v>5</v>
      </c>
      <c r="J66" s="191">
        <f>$J$62*I66^2</f>
        <v>21.2</v>
      </c>
      <c r="N66" s="191">
        <v>5</v>
      </c>
      <c r="O66" s="191">
        <f>$O$62*N66^2</f>
        <v>9.0702947845804988E-2</v>
      </c>
    </row>
    <row r="67" spans="3:15" x14ac:dyDescent="0.3">
      <c r="I67" s="192">
        <f>AVERAGE(I69,I66,I66)</f>
        <v>11.666666666666666</v>
      </c>
      <c r="J67" s="192">
        <f t="shared" ref="J67:J69" si="15">$J$62*I67^2</f>
        <v>115.4222222222222</v>
      </c>
      <c r="N67" s="192">
        <f>AVERAGE(N69,N66,N66)</f>
        <v>38.333333333333336</v>
      </c>
      <c r="O67" s="192">
        <f>$O$62*N67^2</f>
        <v>5.3313177122700939</v>
      </c>
    </row>
    <row r="68" spans="3:15" x14ac:dyDescent="0.3">
      <c r="I68" s="192">
        <f>AVERAGE(I69,I69,I66)</f>
        <v>18.333333333333332</v>
      </c>
      <c r="J68" s="192">
        <f t="shared" si="15"/>
        <v>285.02222222222218</v>
      </c>
      <c r="N68" s="192">
        <f>AVERAGE(N69,N69,N66)</f>
        <v>71.666666666666671</v>
      </c>
      <c r="O68" s="192">
        <f t="shared" ref="O68:O69" si="16">$O$62*N68^2</f>
        <v>18.634416729654831</v>
      </c>
    </row>
    <row r="69" spans="3:15" x14ac:dyDescent="0.3">
      <c r="I69" s="192">
        <f>J61</f>
        <v>25</v>
      </c>
      <c r="J69" s="192">
        <f t="shared" si="15"/>
        <v>530</v>
      </c>
      <c r="N69" s="192">
        <f>O61</f>
        <v>105</v>
      </c>
      <c r="O69" s="192">
        <f t="shared" si="16"/>
        <v>40</v>
      </c>
    </row>
    <row r="72" spans="3:15" x14ac:dyDescent="0.3">
      <c r="I72" s="174" t="s">
        <v>271</v>
      </c>
    </row>
    <row r="73" spans="3:15" x14ac:dyDescent="0.3">
      <c r="I73" s="187" t="s">
        <v>251</v>
      </c>
      <c r="J73" s="570" t="s">
        <v>257</v>
      </c>
      <c r="K73" s="570"/>
      <c r="L73" s="570"/>
      <c r="M73" s="570"/>
      <c r="N73" s="187" t="b">
        <f>IF(I20&gt;0,TRUE,FALSE)</f>
        <v>1</v>
      </c>
    </row>
    <row r="74" spans="3:15" x14ac:dyDescent="0.3">
      <c r="I74" s="187" t="s">
        <v>252</v>
      </c>
      <c r="J74" s="570" t="s">
        <v>258</v>
      </c>
      <c r="K74" s="570"/>
      <c r="L74" s="570"/>
      <c r="M74" s="570"/>
      <c r="N74" s="187" t="b">
        <f>IF(OR(I20&gt;O39,ISERROR(O39)),FALSE,TRUE)</f>
        <v>1</v>
      </c>
    </row>
    <row r="75" spans="3:15" x14ac:dyDescent="0.3">
      <c r="I75" s="187" t="s">
        <v>253</v>
      </c>
      <c r="J75" s="570" t="s">
        <v>259</v>
      </c>
      <c r="K75" s="570"/>
      <c r="L75" s="570"/>
      <c r="M75" s="570"/>
      <c r="N75" s="187" t="b">
        <f>IF(I20&lt;O43,FALSE,TRUE)</f>
        <v>1</v>
      </c>
    </row>
    <row r="76" spans="3:15" x14ac:dyDescent="0.3">
      <c r="C76" s="121" t="s">
        <v>300</v>
      </c>
      <c r="I76" s="187" t="s">
        <v>254</v>
      </c>
      <c r="J76" s="570" t="s">
        <v>256</v>
      </c>
      <c r="K76" s="570"/>
      <c r="L76" s="570"/>
      <c r="M76" s="570"/>
      <c r="N76" s="187" t="b">
        <f>IF(I21&gt;0,TRUE,FALSE)</f>
        <v>1</v>
      </c>
    </row>
    <row r="77" spans="3:15" x14ac:dyDescent="0.3">
      <c r="C77" s="121" t="s">
        <v>173</v>
      </c>
      <c r="D77" s="160">
        <f>C21</f>
        <v>11.919642769408068</v>
      </c>
      <c r="E77" s="160">
        <f>D21</f>
        <v>539.51380616799418</v>
      </c>
      <c r="I77" s="187" t="s">
        <v>255</v>
      </c>
      <c r="J77" s="570" t="s">
        <v>264</v>
      </c>
      <c r="K77" s="570"/>
      <c r="L77" s="570"/>
      <c r="M77" s="570"/>
      <c r="N77" s="187" t="b">
        <f>IF(J26&lt;J62,TRUE,FALSE)</f>
        <v>1</v>
      </c>
    </row>
    <row r="78" spans="3:15" ht="15" thickBot="1" x14ac:dyDescent="0.35">
      <c r="C78" s="121" t="s">
        <v>221</v>
      </c>
      <c r="D78" s="160">
        <f>C34+1</f>
        <v>19.772037713731756</v>
      </c>
      <c r="E78" s="160">
        <f>D34-13</f>
        <v>432.13213348370743</v>
      </c>
      <c r="I78" s="207" t="s">
        <v>269</v>
      </c>
      <c r="J78" s="569" t="s">
        <v>270</v>
      </c>
      <c r="K78" s="569"/>
      <c r="L78" s="569"/>
      <c r="M78" s="569"/>
      <c r="N78" s="207" t="b">
        <f>IF(J26&gt;O62,TRUE,FALSE)</f>
        <v>1</v>
      </c>
    </row>
    <row r="79" spans="3:15" x14ac:dyDescent="0.3">
      <c r="C79" s="121" t="s">
        <v>172</v>
      </c>
      <c r="D79" s="160">
        <f>C45</f>
        <v>13.409746247332366</v>
      </c>
      <c r="E79" s="160">
        <f>D45+10</f>
        <v>252.37003903961963</v>
      </c>
      <c r="I79" s="202" t="s">
        <v>262</v>
      </c>
      <c r="J79" s="568" t="s">
        <v>263</v>
      </c>
      <c r="K79" s="568"/>
      <c r="L79" s="568"/>
      <c r="M79" s="568"/>
      <c r="N79" s="202" t="b">
        <f>IF(AND(N73,N74,N75,N76,N77),TRUE,FALSE)</f>
        <v>1</v>
      </c>
    </row>
    <row r="80" spans="3:15" x14ac:dyDescent="0.3">
      <c r="C80" s="121" t="s">
        <v>171</v>
      </c>
      <c r="D80" s="160">
        <f>C55+1</f>
        <v>13.529225640542576</v>
      </c>
      <c r="E80" s="160">
        <f>D55+9</f>
        <v>107.98278536330372</v>
      </c>
    </row>
    <row r="81" spans="2:22" x14ac:dyDescent="0.3">
      <c r="C81" s="121" t="s">
        <v>170</v>
      </c>
      <c r="D81" s="160">
        <f>C63+2</f>
        <v>6.5965747636739067</v>
      </c>
      <c r="E81" s="160">
        <f>D63+13</f>
        <v>32.910741525302996</v>
      </c>
    </row>
    <row r="82" spans="2:22" x14ac:dyDescent="0.3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</row>
    <row r="83" spans="2:22" x14ac:dyDescent="0.3">
      <c r="B83"/>
      <c r="C83" s="6" t="s">
        <v>280</v>
      </c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</row>
    <row r="84" spans="2:22" ht="15" thickBot="1" x14ac:dyDescent="0.35">
      <c r="B84"/>
      <c r="C84" s="121" t="s">
        <v>281</v>
      </c>
      <c r="E84" s="121"/>
      <c r="G84" s="121"/>
      <c r="O84"/>
      <c r="P84"/>
      <c r="Q84"/>
      <c r="R84"/>
      <c r="S84"/>
      <c r="T84"/>
      <c r="U84"/>
      <c r="V84"/>
    </row>
    <row r="85" spans="2:22" ht="15" thickBot="1" x14ac:dyDescent="0.35">
      <c r="B85"/>
      <c r="D85" s="248" t="s">
        <v>274</v>
      </c>
      <c r="E85" s="249" t="s">
        <v>275</v>
      </c>
      <c r="F85" s="250" t="s">
        <v>290</v>
      </c>
      <c r="G85" s="250" t="s">
        <v>277</v>
      </c>
      <c r="H85" s="250" t="s">
        <v>344</v>
      </c>
      <c r="O85"/>
      <c r="P85"/>
      <c r="Q85"/>
      <c r="R85"/>
      <c r="S85"/>
      <c r="T85"/>
      <c r="U85"/>
      <c r="V85"/>
    </row>
    <row r="86" spans="2:22" x14ac:dyDescent="0.3">
      <c r="B86"/>
      <c r="C86" s="245" t="s">
        <v>173</v>
      </c>
      <c r="D86" s="241">
        <v>230.14166666666665</v>
      </c>
      <c r="E86" s="242">
        <v>0.83491666666666664</v>
      </c>
      <c r="F86" s="243">
        <v>126.97386923101195</v>
      </c>
      <c r="G86" s="244">
        <v>60.519782406644936</v>
      </c>
      <c r="H86" s="243">
        <f>F86-5</f>
        <v>121.97386923101195</v>
      </c>
      <c r="J86" s="121" t="s">
        <v>224</v>
      </c>
      <c r="P86"/>
      <c r="Q86"/>
      <c r="R86"/>
      <c r="S86"/>
      <c r="T86"/>
      <c r="U86"/>
      <c r="V86"/>
    </row>
    <row r="87" spans="2:22" x14ac:dyDescent="0.3">
      <c r="B87"/>
      <c r="C87" s="246"/>
      <c r="D87" s="233">
        <v>229.61666666666667</v>
      </c>
      <c r="E87" s="234">
        <v>0.83349999999999991</v>
      </c>
      <c r="F87" s="235">
        <v>126.65271837911746</v>
      </c>
      <c r="G87" s="236">
        <v>109.49102730252912</v>
      </c>
      <c r="H87" s="235">
        <f t="shared" ref="H87:H111" si="17">F87-5</f>
        <v>121.65271837911746</v>
      </c>
      <c r="J87" s="121">
        <f>I20</f>
        <v>84</v>
      </c>
      <c r="K87" s="121" t="s">
        <v>10</v>
      </c>
      <c r="P87"/>
      <c r="Q87"/>
      <c r="R87"/>
      <c r="S87"/>
      <c r="T87"/>
      <c r="U87"/>
      <c r="V87"/>
    </row>
    <row r="88" spans="2:22" x14ac:dyDescent="0.3">
      <c r="B88"/>
      <c r="C88" s="246"/>
      <c r="D88" s="233">
        <v>229.98461538461541</v>
      </c>
      <c r="E88" s="234">
        <v>0.81307692307692292</v>
      </c>
      <c r="F88" s="235">
        <v>124.01173369899438</v>
      </c>
      <c r="G88" s="236">
        <v>157.96682466505754</v>
      </c>
      <c r="H88" s="235">
        <f t="shared" si="17"/>
        <v>119.01173369899438</v>
      </c>
      <c r="J88" s="121">
        <f>I21</f>
        <v>50</v>
      </c>
      <c r="K88" s="121" t="s">
        <v>11</v>
      </c>
      <c r="P88"/>
      <c r="Q88"/>
      <c r="R88"/>
      <c r="S88"/>
      <c r="T88"/>
      <c r="U88"/>
      <c r="V88"/>
    </row>
    <row r="89" spans="2:22" x14ac:dyDescent="0.3">
      <c r="B89"/>
      <c r="C89" s="246"/>
      <c r="D89" s="233">
        <v>230.14166666666668</v>
      </c>
      <c r="E89" s="234">
        <v>0.81166666666666687</v>
      </c>
      <c r="F89" s="235">
        <v>123.88570482960829</v>
      </c>
      <c r="G89" s="236">
        <v>209.60958113102964</v>
      </c>
      <c r="H89" s="235">
        <f t="shared" si="17"/>
        <v>118.88570482960829</v>
      </c>
      <c r="J89" s="210">
        <f>N55</f>
        <v>5.8641063388135368</v>
      </c>
      <c r="K89" s="121" t="s">
        <v>289</v>
      </c>
      <c r="P89"/>
      <c r="Q89"/>
      <c r="R89"/>
      <c r="S89"/>
      <c r="T89"/>
      <c r="U89"/>
      <c r="V89"/>
    </row>
    <row r="90" spans="2:22" x14ac:dyDescent="0.3">
      <c r="B90"/>
      <c r="C90" s="246"/>
      <c r="D90" s="233">
        <v>229.79166666666674</v>
      </c>
      <c r="E90" s="234">
        <v>0.76200000000000001</v>
      </c>
      <c r="F90" s="235">
        <v>115.59576007461709</v>
      </c>
      <c r="G90" s="236">
        <v>261.01990590538622</v>
      </c>
      <c r="H90" s="235">
        <f t="shared" si="17"/>
        <v>110.59576007461709</v>
      </c>
      <c r="P90"/>
      <c r="Q90"/>
      <c r="R90"/>
      <c r="S90"/>
      <c r="T90"/>
      <c r="U90"/>
      <c r="V90"/>
    </row>
    <row r="91" spans="2:22" x14ac:dyDescent="0.3">
      <c r="B91"/>
      <c r="C91" s="246"/>
      <c r="D91" s="233">
        <v>229.91666666666666</v>
      </c>
      <c r="E91" s="234">
        <v>0.69733333333333336</v>
      </c>
      <c r="F91" s="235">
        <v>105.20043357855467</v>
      </c>
      <c r="G91" s="236">
        <v>311.72372208695833</v>
      </c>
      <c r="H91" s="235">
        <f t="shared" si="17"/>
        <v>100.20043357855467</v>
      </c>
      <c r="P91"/>
      <c r="Q91"/>
      <c r="R91"/>
      <c r="S91"/>
      <c r="T91"/>
      <c r="U91"/>
      <c r="V91"/>
    </row>
    <row r="92" spans="2:22" x14ac:dyDescent="0.3">
      <c r="B92"/>
      <c r="C92" s="246"/>
      <c r="D92" s="233">
        <v>230.23333333333338</v>
      </c>
      <c r="E92" s="234">
        <v>0.6402500000000001</v>
      </c>
      <c r="F92" s="235">
        <v>96.348326357748917</v>
      </c>
      <c r="G92" s="236">
        <v>359.04955464143347</v>
      </c>
      <c r="H92" s="235">
        <f t="shared" si="17"/>
        <v>91.348326357748917</v>
      </c>
      <c r="J92" s="174" t="s">
        <v>278</v>
      </c>
      <c r="P92"/>
      <c r="Q92"/>
      <c r="R92"/>
      <c r="S92"/>
      <c r="T92"/>
      <c r="U92"/>
      <c r="V92"/>
    </row>
    <row r="93" spans="2:22" x14ac:dyDescent="0.3">
      <c r="B93"/>
      <c r="C93" s="246"/>
      <c r="D93" s="233">
        <v>229.85833333333338</v>
      </c>
      <c r="E93" s="234">
        <v>0.57116666666666671</v>
      </c>
      <c r="F93" s="235">
        <v>85.229999302841691</v>
      </c>
      <c r="G93" s="236">
        <v>407.15443219037002</v>
      </c>
      <c r="H93" s="235">
        <f t="shared" si="17"/>
        <v>80.229999302841691</v>
      </c>
      <c r="J93" s="121" t="s">
        <v>279</v>
      </c>
      <c r="N93" s="185" t="s">
        <v>186</v>
      </c>
      <c r="P93"/>
      <c r="Q93"/>
      <c r="R93"/>
      <c r="S93"/>
      <c r="T93"/>
      <c r="U93"/>
      <c r="V93"/>
    </row>
    <row r="94" spans="2:22" x14ac:dyDescent="0.3">
      <c r="B94"/>
      <c r="C94" s="246"/>
      <c r="D94" s="233">
        <v>230.06666666666661</v>
      </c>
      <c r="E94" s="234">
        <v>0.51024999999999998</v>
      </c>
      <c r="F94" s="235">
        <v>76.480785291028766</v>
      </c>
      <c r="G94" s="236">
        <v>457.5092010322798</v>
      </c>
      <c r="H94" s="235">
        <f t="shared" si="17"/>
        <v>71.480785291028766</v>
      </c>
      <c r="J94" s="121" t="s">
        <v>291</v>
      </c>
      <c r="N94" s="195">
        <f>AVERAGE(H86:H89)</f>
        <v>120.38100653468302</v>
      </c>
      <c r="O94" s="121" t="s">
        <v>3</v>
      </c>
      <c r="P94"/>
      <c r="Q94"/>
      <c r="R94"/>
      <c r="S94"/>
      <c r="T94"/>
      <c r="U94"/>
      <c r="V94"/>
    </row>
    <row r="95" spans="2:22" ht="15" thickBot="1" x14ac:dyDescent="0.35">
      <c r="B95"/>
      <c r="C95" s="247"/>
      <c r="D95" s="237">
        <v>229.99166666666667</v>
      </c>
      <c r="E95" s="238">
        <v>0.45500000000000002</v>
      </c>
      <c r="F95" s="239">
        <v>68.208959447262643</v>
      </c>
      <c r="G95" s="240">
        <v>494.53555762891108</v>
      </c>
      <c r="H95" s="239">
        <f t="shared" si="17"/>
        <v>63.208959447262643</v>
      </c>
      <c r="P95"/>
      <c r="Q95"/>
      <c r="R95"/>
      <c r="S95"/>
      <c r="T95"/>
      <c r="U95"/>
      <c r="V95"/>
    </row>
    <row r="96" spans="2:22" x14ac:dyDescent="0.3">
      <c r="B96"/>
      <c r="C96" s="245" t="s">
        <v>221</v>
      </c>
      <c r="D96" s="241">
        <v>229.68333333333331</v>
      </c>
      <c r="E96" s="242">
        <v>0.79916666666666669</v>
      </c>
      <c r="F96" s="243">
        <v>121.49497658570449</v>
      </c>
      <c r="G96" s="244">
        <v>60.77409727145379</v>
      </c>
      <c r="H96" s="243">
        <f t="shared" si="17"/>
        <v>116.49497658570449</v>
      </c>
      <c r="J96" s="175" t="s">
        <v>237</v>
      </c>
      <c r="K96" s="175" t="s">
        <v>6</v>
      </c>
      <c r="L96" s="175" t="s">
        <v>7</v>
      </c>
      <c r="M96" s="175" t="s">
        <v>8</v>
      </c>
      <c r="N96" s="185" t="s">
        <v>282</v>
      </c>
      <c r="O96" s="209" t="s">
        <v>187</v>
      </c>
      <c r="Q96"/>
      <c r="R96"/>
      <c r="S96"/>
      <c r="T96"/>
      <c r="U96"/>
      <c r="V96"/>
    </row>
    <row r="97" spans="2:22" x14ac:dyDescent="0.3">
      <c r="B97"/>
      <c r="C97" s="246"/>
      <c r="D97" s="233">
        <v>230.05833333333328</v>
      </c>
      <c r="E97" s="234">
        <v>0.76691666666666658</v>
      </c>
      <c r="F97" s="235">
        <v>116.73880002602098</v>
      </c>
      <c r="G97" s="236">
        <v>109.14749113064435</v>
      </c>
      <c r="H97" s="235">
        <f t="shared" si="17"/>
        <v>111.73880002602098</v>
      </c>
      <c r="J97" s="175">
        <v>10</v>
      </c>
      <c r="K97" s="175">
        <f t="array" ref="K97:M97">LINEST(H89:H95,G89:G95^{1,2})</f>
        <v>-5.5939001083857655E-5</v>
      </c>
      <c r="L97" s="175">
        <v>-0.15775465926442217</v>
      </c>
      <c r="M97" s="175">
        <v>154.8586498649621</v>
      </c>
      <c r="N97" s="195">
        <f>P39</f>
        <v>105.06915586953866</v>
      </c>
      <c r="O97" s="160">
        <f>IF((K97*$N$97^2+L97*$N$97+M97)&gt;N94,N94,(K97*$N$97^2+L97*$N$97+M97))</f>
        <v>120.38100653468302</v>
      </c>
      <c r="P97" s="121" t="s">
        <v>284</v>
      </c>
      <c r="Q97"/>
      <c r="R97"/>
      <c r="S97"/>
      <c r="T97"/>
      <c r="U97"/>
      <c r="V97"/>
    </row>
    <row r="98" spans="2:22" x14ac:dyDescent="0.3">
      <c r="B98"/>
      <c r="C98" s="246"/>
      <c r="D98" s="233">
        <v>230.23333333333332</v>
      </c>
      <c r="E98" s="234">
        <v>0.7284166666666666</v>
      </c>
      <c r="F98" s="235">
        <v>110.69797646815034</v>
      </c>
      <c r="G98" s="236">
        <v>157.53955847596404</v>
      </c>
      <c r="H98" s="235">
        <f t="shared" si="17"/>
        <v>105.69797646815034</v>
      </c>
      <c r="J98" s="175">
        <v>8</v>
      </c>
      <c r="K98" s="175">
        <f t="array" ref="K98:M98">LINEST(H96:H102,G96:G102^{1,2})</f>
        <v>-1.9160388008387829E-4</v>
      </c>
      <c r="L98" s="175">
        <v>-7.9375084186673148E-2</v>
      </c>
      <c r="M98" s="175">
        <v>122.45465604269475</v>
      </c>
      <c r="N98" s="195">
        <f>P40</f>
        <v>96.709769487814768</v>
      </c>
      <c r="O98" s="160">
        <f>K98*$N$98^2+L98*$N$98+M98</f>
        <v>112.98628110340027</v>
      </c>
      <c r="Q98"/>
      <c r="R98"/>
      <c r="S98"/>
      <c r="T98"/>
      <c r="U98"/>
      <c r="V98"/>
    </row>
    <row r="99" spans="2:22" x14ac:dyDescent="0.3">
      <c r="B99"/>
      <c r="C99" s="246"/>
      <c r="D99" s="233">
        <v>229.73333333333332</v>
      </c>
      <c r="E99" s="234">
        <v>0.66816666666666669</v>
      </c>
      <c r="F99" s="235">
        <v>100.80500687455316</v>
      </c>
      <c r="G99" s="236">
        <v>220.02768125386061</v>
      </c>
      <c r="H99" s="235">
        <f t="shared" si="17"/>
        <v>95.805006874553158</v>
      </c>
      <c r="J99" s="175">
        <v>6</v>
      </c>
      <c r="K99" s="175">
        <f t="array" ref="K99:M99">LINEST(H103:H106,G103:G106^{1,2})</f>
        <v>-2.2268723605149281E-4</v>
      </c>
      <c r="L99" s="175">
        <v>-9.3169782365964487E-2</v>
      </c>
      <c r="M99" s="175">
        <v>56.627058440559438</v>
      </c>
      <c r="N99" s="195">
        <f>P41</f>
        <v>54.421459599459276</v>
      </c>
      <c r="O99" s="160">
        <f>K99*$N$99^2+L99*$N$99+M99</f>
        <v>50.897091161064388</v>
      </c>
      <c r="Q99"/>
      <c r="R99"/>
      <c r="S99"/>
      <c r="T99"/>
      <c r="U99"/>
      <c r="V99"/>
    </row>
    <row r="100" spans="2:22" x14ac:dyDescent="0.3">
      <c r="B100"/>
      <c r="C100" s="246"/>
      <c r="D100" s="233">
        <v>230.45833333333334</v>
      </c>
      <c r="E100" s="234">
        <v>0.55591666666666673</v>
      </c>
      <c r="F100" s="235">
        <v>84.2260451592078</v>
      </c>
      <c r="G100" s="236">
        <v>309.16577346733834</v>
      </c>
      <c r="H100" s="235">
        <f t="shared" si="17"/>
        <v>79.2260451592078</v>
      </c>
      <c r="J100" s="175">
        <v>4</v>
      </c>
      <c r="K100" s="175">
        <f t="array" ref="K100:L100">LINEST(H107:H109,G107:G109)</f>
        <v>-0.10326723216436945</v>
      </c>
      <c r="L100" s="175">
        <v>19.620699337956125</v>
      </c>
      <c r="M100" s="175"/>
      <c r="N100" s="195">
        <f>P42</f>
        <v>22.348026083601397</v>
      </c>
      <c r="O100" s="160">
        <f>K100*$N$100+L100</f>
        <v>17.312880539965477</v>
      </c>
      <c r="Q100"/>
      <c r="R100"/>
      <c r="S100"/>
      <c r="T100"/>
      <c r="U100"/>
      <c r="V100"/>
    </row>
    <row r="101" spans="2:22" x14ac:dyDescent="0.3">
      <c r="B101"/>
      <c r="C101" s="246"/>
      <c r="D101" s="233">
        <v>229.64999999999998</v>
      </c>
      <c r="E101" s="234">
        <v>0.46241666666666675</v>
      </c>
      <c r="F101" s="235">
        <v>69.464373123877309</v>
      </c>
      <c r="G101" s="236">
        <v>378.55429533711975</v>
      </c>
      <c r="H101" s="235">
        <f t="shared" si="17"/>
        <v>64.464373123877309</v>
      </c>
      <c r="J101" s="175">
        <v>2</v>
      </c>
      <c r="K101" s="175">
        <f t="array" ref="K101:L101">LINEST(H110:H111,G110:G111)</f>
        <v>-2.1806345210787309E-2</v>
      </c>
      <c r="L101" s="175">
        <v>2.891789305578683</v>
      </c>
      <c r="M101" s="175"/>
      <c r="N101" s="195">
        <f>P43</f>
        <v>2.6856497818221676</v>
      </c>
      <c r="O101" s="160">
        <f>K101*$N$101+L101</f>
        <v>2.8332250993209933</v>
      </c>
      <c r="Q101"/>
      <c r="R101"/>
      <c r="S101"/>
      <c r="T101"/>
      <c r="U101"/>
      <c r="V101"/>
    </row>
    <row r="102" spans="2:22" ht="15" thickBot="1" x14ac:dyDescent="0.35">
      <c r="B102"/>
      <c r="C102" s="247"/>
      <c r="D102" s="237">
        <v>229.72499999999994</v>
      </c>
      <c r="E102" s="238">
        <v>0.38133333333333336</v>
      </c>
      <c r="F102" s="239">
        <v>57.331100662401134</v>
      </c>
      <c r="G102" s="240">
        <v>434.19416775067538</v>
      </c>
      <c r="H102" s="239">
        <f t="shared" si="17"/>
        <v>52.331100662401134</v>
      </c>
      <c r="P102"/>
      <c r="Q102"/>
      <c r="R102"/>
      <c r="S102"/>
      <c r="T102"/>
      <c r="U102"/>
      <c r="V102"/>
    </row>
    <row r="103" spans="2:22" x14ac:dyDescent="0.3">
      <c r="B103"/>
      <c r="C103" s="245" t="s">
        <v>172</v>
      </c>
      <c r="D103" s="241">
        <v>230.41666666666666</v>
      </c>
      <c r="E103" s="242">
        <v>0.38300000000000001</v>
      </c>
      <c r="F103" s="243">
        <v>57.675017387957681</v>
      </c>
      <c r="G103" s="244">
        <v>36.914935393154764</v>
      </c>
      <c r="H103" s="243">
        <f t="shared" si="17"/>
        <v>52.675017387957681</v>
      </c>
      <c r="J103" s="174" t="s">
        <v>286</v>
      </c>
      <c r="P103"/>
      <c r="Q103"/>
      <c r="R103"/>
      <c r="S103"/>
      <c r="T103"/>
      <c r="U103"/>
      <c r="V103"/>
    </row>
    <row r="104" spans="2:22" x14ac:dyDescent="0.3">
      <c r="B104"/>
      <c r="C104" s="246"/>
      <c r="D104" s="233">
        <v>230.14166666666668</v>
      </c>
      <c r="E104" s="234">
        <v>0.33224999999999999</v>
      </c>
      <c r="F104" s="235">
        <v>50.099867657931149</v>
      </c>
      <c r="G104" s="236">
        <v>104.94515009294813</v>
      </c>
      <c r="H104" s="235">
        <f t="shared" si="17"/>
        <v>45.099867657931149</v>
      </c>
      <c r="J104" s="161" t="s">
        <v>287</v>
      </c>
      <c r="P104"/>
      <c r="Q104"/>
      <c r="R104"/>
      <c r="S104"/>
      <c r="T104"/>
      <c r="U104"/>
      <c r="V104"/>
    </row>
    <row r="105" spans="2:22" ht="15" thickBot="1" x14ac:dyDescent="0.35">
      <c r="B105"/>
      <c r="C105" s="246"/>
      <c r="D105" s="233">
        <v>229.95000000000005</v>
      </c>
      <c r="E105" s="234">
        <v>0.26583333333333337</v>
      </c>
      <c r="F105" s="235">
        <v>39.880551523416699</v>
      </c>
      <c r="G105" s="236">
        <v>162.63315514004455</v>
      </c>
      <c r="H105" s="235">
        <f t="shared" si="17"/>
        <v>34.880551523416699</v>
      </c>
      <c r="J105" s="161" t="s">
        <v>288</v>
      </c>
      <c r="P105"/>
      <c r="Q105"/>
      <c r="R105"/>
      <c r="S105"/>
      <c r="T105"/>
      <c r="U105"/>
      <c r="V105"/>
    </row>
    <row r="106" spans="2:22" ht="15" thickBot="1" x14ac:dyDescent="0.35">
      <c r="B106"/>
      <c r="C106" s="247"/>
      <c r="D106" s="237">
        <v>230.14999999999998</v>
      </c>
      <c r="E106" s="238">
        <v>0.19008333333333335</v>
      </c>
      <c r="F106" s="239">
        <v>28.537171802692207</v>
      </c>
      <c r="G106" s="240">
        <v>230.46423417015734</v>
      </c>
      <c r="H106" s="239">
        <f t="shared" si="17"/>
        <v>23.537171802692207</v>
      </c>
      <c r="K106" s="197" t="s">
        <v>6</v>
      </c>
      <c r="L106" s="197" t="s">
        <v>7</v>
      </c>
      <c r="M106" s="197" t="s">
        <v>8</v>
      </c>
      <c r="N106" s="358" t="s">
        <v>5</v>
      </c>
      <c r="O106" s="355" t="s">
        <v>276</v>
      </c>
      <c r="P106"/>
      <c r="Q106"/>
      <c r="R106"/>
      <c r="S106"/>
      <c r="T106"/>
      <c r="U106"/>
      <c r="V106"/>
    </row>
    <row r="107" spans="2:22" x14ac:dyDescent="0.3">
      <c r="B107"/>
      <c r="C107" s="245" t="s">
        <v>171</v>
      </c>
      <c r="D107" s="241">
        <v>230.14999999999998</v>
      </c>
      <c r="E107" s="242">
        <v>0.15174999999999997</v>
      </c>
      <c r="F107" s="243">
        <v>22.435744216356809</v>
      </c>
      <c r="G107" s="244">
        <v>20.823759448683241</v>
      </c>
      <c r="H107" s="243">
        <f t="shared" si="17"/>
        <v>17.435744216356809</v>
      </c>
      <c r="J107" s="201" t="s">
        <v>239</v>
      </c>
      <c r="K107" s="175">
        <f t="array" ref="K107:N107">LINEST(O98:O101,J98:J101^{1,2,3})</f>
        <v>0.19584216959963571</v>
      </c>
      <c r="L107" s="175">
        <v>3.7963362361174549E-2</v>
      </c>
      <c r="M107" s="175">
        <v>1.5284667973653971</v>
      </c>
      <c r="N107" s="359">
        <v>-1.9422993016515733</v>
      </c>
      <c r="O107" s="356">
        <f>K107*J89^3+L107*J89^2+M107*J89+N107</f>
        <v>47.818502843127213</v>
      </c>
      <c r="P107"/>
      <c r="Q107"/>
      <c r="R107"/>
      <c r="S107"/>
      <c r="T107"/>
      <c r="U107"/>
      <c r="V107"/>
    </row>
    <row r="108" spans="2:22" ht="15" thickBot="1" x14ac:dyDescent="0.35">
      <c r="B108"/>
      <c r="C108" s="246"/>
      <c r="D108" s="233">
        <v>230.24166666666667</v>
      </c>
      <c r="E108" s="234">
        <v>0.12507499999999999</v>
      </c>
      <c r="F108" s="235">
        <v>18.248960123260591</v>
      </c>
      <c r="G108" s="236">
        <v>62.373821015873894</v>
      </c>
      <c r="H108" s="235">
        <f t="shared" si="17"/>
        <v>13.248960123260591</v>
      </c>
      <c r="J108" s="201" t="s">
        <v>240</v>
      </c>
      <c r="K108" s="175">
        <f t="array" ref="K108:L108">LINEST(O97:O98,J97:J98)</f>
        <v>3.6973627156413773</v>
      </c>
      <c r="L108" s="175">
        <v>83.407379378269255</v>
      </c>
      <c r="M108" s="175"/>
      <c r="N108" s="359"/>
      <c r="O108" s="357">
        <f>K108*J89+L108</f>
        <v>105.08910751595468</v>
      </c>
      <c r="P108"/>
      <c r="Q108"/>
      <c r="R108"/>
      <c r="S108"/>
      <c r="T108"/>
      <c r="U108"/>
      <c r="V108"/>
    </row>
    <row r="109" spans="2:22" ht="15" thickBot="1" x14ac:dyDescent="0.35">
      <c r="B109"/>
      <c r="C109" s="247"/>
      <c r="D109" s="237">
        <v>229.95833333333334</v>
      </c>
      <c r="E109" s="238">
        <v>9.6449999999999994E-2</v>
      </c>
      <c r="F109" s="239">
        <v>13.896478960932097</v>
      </c>
      <c r="G109" s="240">
        <v>103.51135236158503</v>
      </c>
      <c r="H109" s="239">
        <f t="shared" si="17"/>
        <v>8.8964789609320967</v>
      </c>
      <c r="P109"/>
      <c r="Q109"/>
      <c r="R109"/>
      <c r="S109"/>
      <c r="T109"/>
      <c r="U109"/>
      <c r="V109"/>
    </row>
    <row r="110" spans="2:22" x14ac:dyDescent="0.3">
      <c r="B110"/>
      <c r="C110" s="245" t="s">
        <v>170</v>
      </c>
      <c r="D110" s="241">
        <v>230.08461538461538</v>
      </c>
      <c r="E110" s="242">
        <v>5.6246153846153842E-2</v>
      </c>
      <c r="F110" s="243">
        <v>7.7280336680438255</v>
      </c>
      <c r="G110" s="244">
        <v>7.5095407300921613</v>
      </c>
      <c r="H110" s="243">
        <f t="shared" si="17"/>
        <v>2.7280336680438255</v>
      </c>
      <c r="J110" s="174" t="s">
        <v>349</v>
      </c>
      <c r="O110"/>
      <c r="P110"/>
      <c r="Q110"/>
      <c r="R110"/>
      <c r="T110"/>
      <c r="U110"/>
      <c r="V110"/>
    </row>
    <row r="111" spans="2:22" ht="15" thickBot="1" x14ac:dyDescent="0.35">
      <c r="B111"/>
      <c r="C111" s="247"/>
      <c r="D111" s="237">
        <v>230.06666666666663</v>
      </c>
      <c r="E111" s="238">
        <v>5.3950000000000005E-2</v>
      </c>
      <c r="F111" s="239">
        <v>7.4396666561665077</v>
      </c>
      <c r="G111" s="240">
        <v>20.733536273126422</v>
      </c>
      <c r="H111" s="239">
        <f t="shared" si="17"/>
        <v>2.4396666561665077</v>
      </c>
      <c r="J111" s="161" t="s">
        <v>350</v>
      </c>
      <c r="P111"/>
      <c r="Q111"/>
      <c r="R111"/>
      <c r="S111"/>
      <c r="T111"/>
      <c r="U111"/>
      <c r="V111"/>
    </row>
    <row r="112" spans="2:22" ht="15" thickBot="1" x14ac:dyDescent="0.35">
      <c r="B112"/>
      <c r="C112"/>
      <c r="D112"/>
      <c r="E112"/>
      <c r="F112"/>
      <c r="G112"/>
      <c r="H112"/>
      <c r="J112" s="161" t="s">
        <v>288</v>
      </c>
      <c r="P112"/>
      <c r="Q112"/>
      <c r="R112"/>
      <c r="S112"/>
      <c r="T112"/>
      <c r="U112"/>
      <c r="V112"/>
    </row>
    <row r="113" spans="2:22" x14ac:dyDescent="0.3">
      <c r="B113"/>
      <c r="C113"/>
      <c r="D113"/>
      <c r="E113"/>
      <c r="F113"/>
      <c r="G113"/>
      <c r="H113"/>
      <c r="K113" s="197" t="s">
        <v>6</v>
      </c>
      <c r="L113" s="197" t="s">
        <v>7</v>
      </c>
      <c r="M113" s="197" t="s">
        <v>8</v>
      </c>
      <c r="O113" s="355" t="s">
        <v>276</v>
      </c>
      <c r="P113"/>
      <c r="Q113"/>
      <c r="R113"/>
      <c r="S113"/>
      <c r="T113"/>
      <c r="U113"/>
      <c r="V113"/>
    </row>
    <row r="114" spans="2:22" x14ac:dyDescent="0.3">
      <c r="B114"/>
      <c r="C114"/>
      <c r="D114"/>
      <c r="E114"/>
      <c r="F114"/>
      <c r="G114"/>
      <c r="H114"/>
      <c r="J114" s="201" t="s">
        <v>239</v>
      </c>
      <c r="K114" s="175">
        <f t="array" ref="K114:M114">LINEST(O98:O101,N98:N101^{1,2})</f>
        <v>5.7591733623832712E-3</v>
      </c>
      <c r="L114" s="175">
        <v>0.5997925706338354</v>
      </c>
      <c r="M114" s="175">
        <v>1.1320034420372025</v>
      </c>
      <c r="N114" s="199" t="s">
        <v>351</v>
      </c>
      <c r="O114" s="356">
        <f>K114*J88^2+L114*J88+M114</f>
        <v>45.519565379687151</v>
      </c>
      <c r="P114"/>
      <c r="Q114"/>
      <c r="R114"/>
      <c r="S114"/>
      <c r="T114"/>
      <c r="U114"/>
      <c r="V114"/>
    </row>
    <row r="115" spans="2:22" ht="15" thickBot="1" x14ac:dyDescent="0.35">
      <c r="B115"/>
      <c r="C115"/>
      <c r="D115"/>
      <c r="E115"/>
      <c r="F115"/>
      <c r="G115"/>
      <c r="H115"/>
      <c r="J115" s="201" t="s">
        <v>240</v>
      </c>
      <c r="K115" s="175">
        <f t="array" ref="K115:L115">LINEST(O97:O98,N97:N98)</f>
        <v>0.88460146398422523</v>
      </c>
      <c r="L115" s="175">
        <v>27.436677432902371</v>
      </c>
      <c r="M115" s="175"/>
      <c r="O115" s="357">
        <f>K115*J88+L115</f>
        <v>71.666750632113633</v>
      </c>
      <c r="P115"/>
      <c r="Q115"/>
      <c r="R115"/>
      <c r="S115"/>
      <c r="T115"/>
      <c r="U115"/>
      <c r="V115"/>
    </row>
    <row r="116" spans="2:22" x14ac:dyDescent="0.3">
      <c r="B116"/>
      <c r="C116"/>
      <c r="D116"/>
      <c r="E116"/>
      <c r="F116"/>
      <c r="G116"/>
      <c r="H116"/>
      <c r="O116"/>
      <c r="P116"/>
      <c r="Q116"/>
      <c r="R116"/>
      <c r="S116"/>
      <c r="T116"/>
      <c r="U116"/>
      <c r="V116"/>
    </row>
    <row r="117" spans="2:22" x14ac:dyDescent="0.3">
      <c r="B117"/>
      <c r="C117"/>
      <c r="D117"/>
      <c r="E117"/>
      <c r="F117"/>
      <c r="G117"/>
      <c r="H117"/>
      <c r="J117" s="121" t="s">
        <v>285</v>
      </c>
      <c r="O117"/>
      <c r="P117"/>
      <c r="Q117"/>
      <c r="R117"/>
      <c r="S117"/>
      <c r="T117"/>
      <c r="U117"/>
      <c r="V117"/>
    </row>
    <row r="118" spans="2:22" x14ac:dyDescent="0.3">
      <c r="B118"/>
      <c r="C118"/>
      <c r="D118"/>
      <c r="E118"/>
      <c r="F118"/>
      <c r="G118"/>
      <c r="H118"/>
      <c r="I118"/>
      <c r="J118" s="121" t="s">
        <v>283</v>
      </c>
      <c r="K118" s="211">
        <f>IF(J89&gt;8,AVERAGE(O108,O115),AVERAGE(O107,O114))</f>
        <v>46.669034111407186</v>
      </c>
      <c r="L118" s="174" t="s">
        <v>3</v>
      </c>
      <c r="M118"/>
      <c r="N118"/>
      <c r="O118"/>
      <c r="P118"/>
      <c r="Q118"/>
      <c r="R118"/>
      <c r="S118"/>
      <c r="T118"/>
      <c r="U118"/>
      <c r="V118"/>
    </row>
    <row r="119" spans="2:22" x14ac:dyDescent="0.3">
      <c r="B119"/>
      <c r="C119"/>
      <c r="D119"/>
      <c r="E119"/>
      <c r="F119"/>
      <c r="G119"/>
      <c r="H119"/>
      <c r="I119"/>
      <c r="J119" s="121" t="s">
        <v>341</v>
      </c>
      <c r="K119" s="195">
        <f>IF(N79,K118,"-")</f>
        <v>46.669034111407186</v>
      </c>
      <c r="L119" s="121" t="s">
        <v>3</v>
      </c>
      <c r="M119"/>
      <c r="N119"/>
      <c r="O119"/>
      <c r="P119"/>
      <c r="Q119"/>
      <c r="R119"/>
      <c r="S119"/>
      <c r="T119"/>
      <c r="U119"/>
      <c r="V119"/>
    </row>
    <row r="120" spans="2:22" x14ac:dyDescent="0.3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</row>
    <row r="121" spans="2:22" x14ac:dyDescent="0.3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</row>
    <row r="122" spans="2:22" x14ac:dyDescent="0.3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</row>
    <row r="123" spans="2:22" x14ac:dyDescent="0.3">
      <c r="B123"/>
      <c r="C123" s="6" t="s">
        <v>373</v>
      </c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</row>
    <row r="124" spans="2:22" x14ac:dyDescent="0.3">
      <c r="C124" s="121" t="s">
        <v>371</v>
      </c>
    </row>
    <row r="126" spans="2:22" x14ac:dyDescent="0.3">
      <c r="C126" s="121" t="s">
        <v>372</v>
      </c>
    </row>
    <row r="127" spans="2:22" x14ac:dyDescent="0.3">
      <c r="D127" s="209" t="s">
        <v>10</v>
      </c>
      <c r="E127" s="209" t="s">
        <v>11</v>
      </c>
      <c r="G127" s="121" t="s">
        <v>370</v>
      </c>
    </row>
    <row r="128" spans="2:22" x14ac:dyDescent="0.3">
      <c r="C128" s="121" t="s">
        <v>4</v>
      </c>
      <c r="D128" s="200">
        <f>O39</f>
        <v>121.76764462002743</v>
      </c>
      <c r="E128" s="200">
        <f>P39</f>
        <v>105.06915586953866</v>
      </c>
      <c r="G128" s="371">
        <f>D128/I20-1</f>
        <v>0.44961481690508842</v>
      </c>
    </row>
    <row r="129" spans="4:7" x14ac:dyDescent="0.3">
      <c r="D129" s="200"/>
      <c r="E129" s="200"/>
      <c r="F129" s="160"/>
      <c r="G129" s="200">
        <f>IF(N79,G128,"-")</f>
        <v>0.44961481690508842</v>
      </c>
    </row>
  </sheetData>
  <mergeCells count="7">
    <mergeCell ref="J79:M79"/>
    <mergeCell ref="J73:M73"/>
    <mergeCell ref="J74:M74"/>
    <mergeCell ref="J75:M75"/>
    <mergeCell ref="J76:M76"/>
    <mergeCell ref="J77:M77"/>
    <mergeCell ref="J78:M78"/>
  </mergeCells>
  <conditionalFormatting sqref="N73:N79">
    <cfRule type="containsText" dxfId="1" priority="1" operator="containsText" text="epä">
      <formula>NOT(ISERROR(SEARCH("epä",N73)))</formula>
    </cfRule>
    <cfRule type="containsText" dxfId="0" priority="2" operator="containsText" text="tosi">
      <formula>NOT(ISERROR(SEARCH("tosi",N73)))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3B98-BA9F-49E2-A681-893AA5BF168D}">
  <dimension ref="B1:AW141"/>
  <sheetViews>
    <sheetView topLeftCell="A35" zoomScaleNormal="100" workbookViewId="0">
      <selection activeCell="B26" sqref="B26"/>
    </sheetView>
  </sheetViews>
  <sheetFormatPr defaultRowHeight="13.5" x14ac:dyDescent="0.25"/>
  <cols>
    <col min="2" max="8" width="6.28515625" customWidth="1"/>
    <col min="9" max="16" width="6.7109375" customWidth="1"/>
    <col min="17" max="17" width="6.42578125" bestFit="1" customWidth="1"/>
    <col min="18" max="18" width="7.7109375" bestFit="1" customWidth="1"/>
    <col min="19" max="19" width="11.28515625" customWidth="1"/>
    <col min="29" max="29" width="11.42578125" customWidth="1"/>
    <col min="36" max="36" width="10" customWidth="1"/>
    <col min="37" max="37" width="16.7109375" customWidth="1"/>
    <col min="38" max="38" width="11" bestFit="1" customWidth="1"/>
    <col min="49" max="49" width="11" bestFit="1" customWidth="1"/>
  </cols>
  <sheetData>
    <row r="1" spans="2:49" ht="15" x14ac:dyDescent="0.25">
      <c r="AC1" s="5" t="s">
        <v>316</v>
      </c>
      <c r="AK1" s="5" t="s">
        <v>326</v>
      </c>
    </row>
    <row r="2" spans="2:49" ht="15" x14ac:dyDescent="0.25">
      <c r="B2" s="5" t="s">
        <v>308</v>
      </c>
      <c r="F2" s="466" t="s">
        <v>421</v>
      </c>
      <c r="G2" s="467" t="s">
        <v>422</v>
      </c>
      <c r="AC2" s="159" t="s">
        <v>324</v>
      </c>
    </row>
    <row r="3" spans="2:49" x14ac:dyDescent="0.25">
      <c r="AC3" s="159" t="s">
        <v>325</v>
      </c>
      <c r="AL3" s="6" t="s">
        <v>327</v>
      </c>
    </row>
    <row r="4" spans="2:49" ht="14.25" thickBot="1" x14ac:dyDescent="0.3">
      <c r="B4" s="6" t="s">
        <v>309</v>
      </c>
      <c r="E4" s="465"/>
      <c r="AL4" s="24" t="str">
        <f t="shared" ref="AL4:AS4" si="0">I6</f>
        <v>63 Hz</v>
      </c>
      <c r="AM4" s="24" t="str">
        <f t="shared" si="0"/>
        <v>125 Hz</v>
      </c>
      <c r="AN4" s="24" t="str">
        <f t="shared" si="0"/>
        <v>250 Hz</v>
      </c>
      <c r="AO4" s="24" t="str">
        <f t="shared" si="0"/>
        <v>500 Hz</v>
      </c>
      <c r="AP4" s="24" t="str">
        <f t="shared" si="0"/>
        <v>1 kHz</v>
      </c>
      <c r="AQ4" s="24" t="str">
        <f t="shared" si="0"/>
        <v>2 kHz</v>
      </c>
      <c r="AR4" s="24" t="str">
        <f t="shared" si="0"/>
        <v>4 kHz</v>
      </c>
      <c r="AS4" s="24" t="str">
        <f t="shared" si="0"/>
        <v>8 kHz</v>
      </c>
    </row>
    <row r="5" spans="2:49" ht="15.75" x14ac:dyDescent="0.3">
      <c r="B5" s="587" t="s">
        <v>0</v>
      </c>
      <c r="C5" s="588"/>
      <c r="D5" s="589"/>
      <c r="E5" s="605" t="s">
        <v>2</v>
      </c>
      <c r="F5" s="606"/>
      <c r="G5" s="607"/>
      <c r="H5" s="576" t="s">
        <v>174</v>
      </c>
      <c r="I5" s="587" t="s">
        <v>175</v>
      </c>
      <c r="J5" s="588"/>
      <c r="K5" s="588"/>
      <c r="L5" s="588"/>
      <c r="M5" s="588"/>
      <c r="N5" s="588"/>
      <c r="O5" s="588"/>
      <c r="P5" s="589"/>
      <c r="Q5" s="591" t="s">
        <v>176</v>
      </c>
      <c r="R5" s="576" t="s">
        <v>177</v>
      </c>
      <c r="AC5" t="s">
        <v>313</v>
      </c>
      <c r="AK5" s="571" t="s">
        <v>173</v>
      </c>
      <c r="AL5" s="283">
        <f t="shared" ref="AL5:AL20" si="1">I8-$R8</f>
        <v>2.465444124959518</v>
      </c>
      <c r="AM5" s="284">
        <f t="shared" ref="AM5:AM20" si="2">J8-$R8</f>
        <v>0.64868103414009681</v>
      </c>
      <c r="AN5" s="284">
        <f t="shared" ref="AN5:AN20" si="3">K8-$R8</f>
        <v>-2.5916321377124802</v>
      </c>
      <c r="AO5" s="284">
        <f t="shared" ref="AO5:AO20" si="4">L8-$R8</f>
        <v>-0.38179328829367876</v>
      </c>
      <c r="AP5" s="284">
        <f t="shared" ref="AP5:AP20" si="5">M8-$R8</f>
        <v>-8.7380230004504824</v>
      </c>
      <c r="AQ5" s="284">
        <f t="shared" ref="AQ5:AQ20" si="6">N8-$R8</f>
        <v>-8.9178436391576454</v>
      </c>
      <c r="AR5" s="284">
        <f t="shared" ref="AR5:AR20" si="7">O8-$R8</f>
        <v>-10.597832312437916</v>
      </c>
      <c r="AS5" s="285">
        <f t="shared" ref="AS5:AS20" si="8">P8-$R8</f>
        <v>-19.442025525597401</v>
      </c>
    </row>
    <row r="6" spans="2:49" ht="14.25" x14ac:dyDescent="0.3">
      <c r="B6" s="595" t="s">
        <v>178</v>
      </c>
      <c r="C6" s="597" t="s">
        <v>179</v>
      </c>
      <c r="D6" s="583" t="s">
        <v>304</v>
      </c>
      <c r="E6" s="599" t="s">
        <v>305</v>
      </c>
      <c r="F6" s="601" t="s">
        <v>306</v>
      </c>
      <c r="G6" s="603" t="s">
        <v>307</v>
      </c>
      <c r="H6" s="590"/>
      <c r="I6" s="585" t="s">
        <v>162</v>
      </c>
      <c r="J6" s="578" t="s">
        <v>163</v>
      </c>
      <c r="K6" s="578" t="s">
        <v>164</v>
      </c>
      <c r="L6" s="578" t="s">
        <v>165</v>
      </c>
      <c r="M6" s="578" t="s">
        <v>166</v>
      </c>
      <c r="N6" s="578" t="s">
        <v>167</v>
      </c>
      <c r="O6" s="578" t="s">
        <v>168</v>
      </c>
      <c r="P6" s="580" t="s">
        <v>169</v>
      </c>
      <c r="Q6" s="592"/>
      <c r="R6" s="590"/>
      <c r="AC6" s="121" t="s">
        <v>314</v>
      </c>
      <c r="AK6" s="572"/>
      <c r="AL6" s="286">
        <f t="shared" si="1"/>
        <v>2.7562031894220667</v>
      </c>
      <c r="AM6" s="130">
        <f t="shared" si="2"/>
        <v>9.8934719266651427E-2</v>
      </c>
      <c r="AN6" s="130">
        <f t="shared" si="3"/>
        <v>-2.9665096995859699</v>
      </c>
      <c r="AO6" s="130">
        <f t="shared" si="4"/>
        <v>0.47682690661473259</v>
      </c>
      <c r="AP6" s="130">
        <f t="shared" si="5"/>
        <v>-9.225252204017572</v>
      </c>
      <c r="AQ6" s="130">
        <f t="shared" si="6"/>
        <v>-9.8057075927316362</v>
      </c>
      <c r="AR6" s="130">
        <f t="shared" si="7"/>
        <v>-11.543213477982455</v>
      </c>
      <c r="AS6" s="287">
        <f t="shared" si="8"/>
        <v>-20.864205372556924</v>
      </c>
    </row>
    <row r="7" spans="2:49" x14ac:dyDescent="0.25">
      <c r="B7" s="596"/>
      <c r="C7" s="598"/>
      <c r="D7" s="584"/>
      <c r="E7" s="600"/>
      <c r="F7" s="602"/>
      <c r="G7" s="604"/>
      <c r="H7" s="577"/>
      <c r="I7" s="586"/>
      <c r="J7" s="579"/>
      <c r="K7" s="579"/>
      <c r="L7" s="579"/>
      <c r="M7" s="579"/>
      <c r="N7" s="579"/>
      <c r="O7" s="579"/>
      <c r="P7" s="581"/>
      <c r="Q7" s="593"/>
      <c r="R7" s="594"/>
      <c r="AG7" t="s">
        <v>320</v>
      </c>
      <c r="AK7" s="572"/>
      <c r="AL7" s="286">
        <f t="shared" si="1"/>
        <v>0.67228583366392058</v>
      </c>
      <c r="AM7" s="130">
        <f t="shared" si="2"/>
        <v>-2.8537987536437868</v>
      </c>
      <c r="AN7" s="130">
        <f t="shared" si="3"/>
        <v>-5.7092917653175874</v>
      </c>
      <c r="AO7" s="130">
        <f t="shared" si="4"/>
        <v>1.9630292119713459</v>
      </c>
      <c r="AP7" s="130">
        <f t="shared" si="5"/>
        <v>-11.848879556877669</v>
      </c>
      <c r="AQ7" s="130">
        <f t="shared" si="6"/>
        <v>-12.893836442479525</v>
      </c>
      <c r="AR7" s="130">
        <f t="shared" si="7"/>
        <v>-14.506584194216927</v>
      </c>
      <c r="AS7" s="287">
        <f t="shared" si="8"/>
        <v>-24.475127273132138</v>
      </c>
    </row>
    <row r="8" spans="2:49" ht="15.6" customHeight="1" thickBot="1" x14ac:dyDescent="0.35">
      <c r="B8" s="252">
        <v>100</v>
      </c>
      <c r="C8" s="333">
        <v>151.04411971073372</v>
      </c>
      <c r="D8" s="254">
        <v>105.50215381097108</v>
      </c>
      <c r="E8" s="255">
        <v>100</v>
      </c>
      <c r="F8" s="256">
        <v>156.5473041616448</v>
      </c>
      <c r="G8" s="257">
        <v>107.0266719489271</v>
      </c>
      <c r="H8" s="258">
        <v>178.56818967265718</v>
      </c>
      <c r="I8" s="259">
        <v>73.934863499648827</v>
      </c>
      <c r="J8" s="253">
        <v>72.118100408829406</v>
      </c>
      <c r="K8" s="253">
        <v>68.877787236976829</v>
      </c>
      <c r="L8" s="253">
        <v>71.08762608639563</v>
      </c>
      <c r="M8" s="253">
        <v>62.731396374238827</v>
      </c>
      <c r="N8" s="253">
        <v>62.551575735531664</v>
      </c>
      <c r="O8" s="253">
        <v>60.871587062251393</v>
      </c>
      <c r="P8" s="254">
        <v>52.027393849091908</v>
      </c>
      <c r="Q8" s="260">
        <v>78.238414947148584</v>
      </c>
      <c r="R8" s="336">
        <v>71.469419374689309</v>
      </c>
      <c r="AC8" s="166" t="s">
        <v>315</v>
      </c>
      <c r="AD8" s="166" t="s">
        <v>6</v>
      </c>
      <c r="AE8" s="166" t="s">
        <v>7</v>
      </c>
      <c r="AG8" s="166" t="s">
        <v>301</v>
      </c>
      <c r="AH8" s="166" t="s">
        <v>185</v>
      </c>
      <c r="AK8" s="582"/>
      <c r="AL8" s="288">
        <f t="shared" si="1"/>
        <v>-1.5340681410359309</v>
      </c>
      <c r="AM8" s="289">
        <f t="shared" si="2"/>
        <v>-4.2633407901158904</v>
      </c>
      <c r="AN8" s="289">
        <f t="shared" si="3"/>
        <v>-7.4407888128102257</v>
      </c>
      <c r="AO8" s="289">
        <f t="shared" si="4"/>
        <v>2.5527235291055632</v>
      </c>
      <c r="AP8" s="289">
        <f t="shared" si="5"/>
        <v>-13.478091595095819</v>
      </c>
      <c r="AQ8" s="289">
        <f t="shared" si="6"/>
        <v>-14.945066373852256</v>
      </c>
      <c r="AR8" s="289">
        <f t="shared" si="7"/>
        <v>-17.066648854815533</v>
      </c>
      <c r="AS8" s="290">
        <f t="shared" si="8"/>
        <v>-27.290670864480099</v>
      </c>
      <c r="AT8" s="10"/>
      <c r="AU8" s="10"/>
      <c r="AV8" s="10"/>
      <c r="AW8" s="10"/>
    </row>
    <row r="9" spans="2:49" x14ac:dyDescent="0.25">
      <c r="B9" s="261">
        <v>100</v>
      </c>
      <c r="C9" s="334">
        <v>136.93812754583607</v>
      </c>
      <c r="D9" s="263">
        <v>222.12410852266589</v>
      </c>
      <c r="E9" s="264">
        <v>100</v>
      </c>
      <c r="F9" s="265">
        <v>144.09797565785851</v>
      </c>
      <c r="G9" s="266">
        <v>223.49524534335896</v>
      </c>
      <c r="H9" s="267">
        <v>178.79529614651204</v>
      </c>
      <c r="I9" s="268">
        <v>74.803337449944124</v>
      </c>
      <c r="J9" s="262">
        <v>72.146068979788708</v>
      </c>
      <c r="K9" s="262">
        <v>69.080624560936087</v>
      </c>
      <c r="L9" s="262">
        <v>72.52396116713679</v>
      </c>
      <c r="M9" s="262">
        <v>62.821882056504485</v>
      </c>
      <c r="N9" s="262">
        <v>62.241426667790421</v>
      </c>
      <c r="O9" s="262">
        <v>60.503920782539602</v>
      </c>
      <c r="P9" s="263">
        <v>51.182928887965133</v>
      </c>
      <c r="Q9" s="269">
        <v>78.889205208558067</v>
      </c>
      <c r="R9" s="337">
        <v>72.047134260522057</v>
      </c>
      <c r="AC9" s="166">
        <v>10</v>
      </c>
      <c r="AD9" s="166">
        <f t="array" ref="AD9:AE9">LINEST(R8:R11,C8:C11)</f>
        <v>-0.13189776550433752</v>
      </c>
      <c r="AE9" s="166">
        <v>90.884391736389333</v>
      </c>
      <c r="AG9" s="279">
        <f>'Laskenta tulopuoli'!O45</f>
        <v>145.65364378431303</v>
      </c>
      <c r="AH9" s="130">
        <f>AD9*AG9+AE9</f>
        <v>71.67300158367371</v>
      </c>
      <c r="AK9" s="571" t="s">
        <v>221</v>
      </c>
      <c r="AL9" s="283">
        <f t="shared" si="1"/>
        <v>1.5219117330248224</v>
      </c>
      <c r="AM9" s="284">
        <f t="shared" si="2"/>
        <v>0.37762906068550706</v>
      </c>
      <c r="AN9" s="284">
        <f t="shared" si="3"/>
        <v>-1.7708640221648153</v>
      </c>
      <c r="AO9" s="284">
        <f t="shared" si="4"/>
        <v>0.21573286382630386</v>
      </c>
      <c r="AP9" s="284">
        <f t="shared" si="5"/>
        <v>-8.9674615626272995</v>
      </c>
      <c r="AQ9" s="284">
        <f t="shared" si="6"/>
        <v>-9.4726791357439808</v>
      </c>
      <c r="AR9" s="284">
        <f t="shared" si="7"/>
        <v>-11.157451363332136</v>
      </c>
      <c r="AS9" s="285">
        <f t="shared" si="8"/>
        <v>-21.165709079607574</v>
      </c>
      <c r="AT9" s="10"/>
      <c r="AU9" s="10"/>
      <c r="AV9" s="10"/>
      <c r="AW9" s="10"/>
    </row>
    <row r="10" spans="2:49" x14ac:dyDescent="0.25">
      <c r="B10" s="261">
        <v>100</v>
      </c>
      <c r="C10" s="334">
        <v>121.79570529137803</v>
      </c>
      <c r="D10" s="263">
        <v>339.63005262288209</v>
      </c>
      <c r="E10" s="264">
        <v>100</v>
      </c>
      <c r="F10" s="265">
        <v>129.58702199451614</v>
      </c>
      <c r="G10" s="266">
        <v>343.29631780094081</v>
      </c>
      <c r="H10" s="267">
        <v>179.03908914480883</v>
      </c>
      <c r="I10" s="268">
        <v>75.586805567854782</v>
      </c>
      <c r="J10" s="262">
        <v>72.060720980547075</v>
      </c>
      <c r="K10" s="262">
        <v>69.205227968873274</v>
      </c>
      <c r="L10" s="262">
        <v>76.877548946162207</v>
      </c>
      <c r="M10" s="262">
        <v>63.065640177313192</v>
      </c>
      <c r="N10" s="262">
        <v>62.020683291711336</v>
      </c>
      <c r="O10" s="262">
        <v>60.407935539973934</v>
      </c>
      <c r="P10" s="263">
        <v>50.439392461058723</v>
      </c>
      <c r="Q10" s="269">
        <v>80.574758457610599</v>
      </c>
      <c r="R10" s="337">
        <v>74.914519734190861</v>
      </c>
      <c r="AC10" s="166">
        <v>8</v>
      </c>
      <c r="AD10" s="166">
        <f t="array" ref="AD10:AE10">LINEST(R12:R15,C12:C15)</f>
        <v>-6.1554769088362216E-2</v>
      </c>
      <c r="AE10" s="166">
        <v>76.226742011380892</v>
      </c>
      <c r="AG10" s="279">
        <f>'Laskenta tulopuoli'!O46</f>
        <v>123.49583115646229</v>
      </c>
      <c r="AH10" s="130">
        <f t="shared" ref="AH10:AH12" si="9">AD10*AG10+AE10</f>
        <v>68.62498464116949</v>
      </c>
      <c r="AK10" s="572"/>
      <c r="AL10" s="286">
        <f t="shared" si="1"/>
        <v>1.157024193886329</v>
      </c>
      <c r="AM10" s="130">
        <f t="shared" si="2"/>
        <v>0.76916928448930832</v>
      </c>
      <c r="AN10" s="130">
        <f t="shared" si="3"/>
        <v>-1.313000542241582</v>
      </c>
      <c r="AO10" s="130">
        <f t="shared" si="4"/>
        <v>0.2009114239043015</v>
      </c>
      <c r="AP10" s="130">
        <f t="shared" si="5"/>
        <v>-8.5693486735685838</v>
      </c>
      <c r="AQ10" s="130">
        <f t="shared" si="6"/>
        <v>-9.486124699259463</v>
      </c>
      <c r="AR10" s="130">
        <f t="shared" si="7"/>
        <v>-11.413835634554609</v>
      </c>
      <c r="AS10" s="287">
        <f t="shared" si="8"/>
        <v>-21.594760259434459</v>
      </c>
      <c r="AT10" s="10"/>
      <c r="AU10" s="10"/>
      <c r="AV10" s="10"/>
      <c r="AW10" s="10"/>
    </row>
    <row r="11" spans="2:49" x14ac:dyDescent="0.25">
      <c r="B11" s="270">
        <v>100</v>
      </c>
      <c r="C11" s="335">
        <v>103.91330211422635</v>
      </c>
      <c r="D11" s="272">
        <v>469.97003170522618</v>
      </c>
      <c r="E11" s="273">
        <v>100</v>
      </c>
      <c r="F11" s="274">
        <v>111.09250303149187</v>
      </c>
      <c r="G11" s="275">
        <v>478.81947661867042</v>
      </c>
      <c r="H11" s="276">
        <v>179.32699583596096</v>
      </c>
      <c r="I11" s="277">
        <v>75.817696786058789</v>
      </c>
      <c r="J11" s="271">
        <v>73.08842413697883</v>
      </c>
      <c r="K11" s="271">
        <v>69.910976114284495</v>
      </c>
      <c r="L11" s="271">
        <v>79.904488456200284</v>
      </c>
      <c r="M11" s="271">
        <v>63.873673331998901</v>
      </c>
      <c r="N11" s="271">
        <v>62.406698553242464</v>
      </c>
      <c r="O11" s="271">
        <v>60.285116072279187</v>
      </c>
      <c r="P11" s="272">
        <v>50.061094062614622</v>
      </c>
      <c r="Q11" s="278">
        <v>82.342861753845256</v>
      </c>
      <c r="R11" s="338">
        <v>77.35176492709472</v>
      </c>
      <c r="AC11" s="166">
        <v>6</v>
      </c>
      <c r="AD11" s="166">
        <f t="array" ref="AD11:AE11">LINEST(R16:R19,C16:C19)</f>
        <v>-0.16973475172483679</v>
      </c>
      <c r="AE11" s="166">
        <v>76.388321202299224</v>
      </c>
      <c r="AG11" s="279">
        <f>'Laskenta tulopuoli'!O47</f>
        <v>86.508692556320128</v>
      </c>
      <c r="AH11" s="130">
        <f t="shared" si="9"/>
        <v>61.70478974921199</v>
      </c>
      <c r="AK11" s="572"/>
      <c r="AL11" s="286">
        <f t="shared" si="1"/>
        <v>0.71605665955404163</v>
      </c>
      <c r="AM11" s="130">
        <f t="shared" si="2"/>
        <v>-0.28668176398559808</v>
      </c>
      <c r="AN11" s="130">
        <f t="shared" si="3"/>
        <v>-1.9061465169767899</v>
      </c>
      <c r="AO11" s="130">
        <f t="shared" si="4"/>
        <v>1.381943558375454</v>
      </c>
      <c r="AP11" s="130">
        <f t="shared" si="5"/>
        <v>-9.7948473847604518</v>
      </c>
      <c r="AQ11" s="130">
        <f t="shared" si="6"/>
        <v>-10.627631744604535</v>
      </c>
      <c r="AR11" s="130">
        <f t="shared" si="7"/>
        <v>-12.989491101693424</v>
      </c>
      <c r="AS11" s="287">
        <f t="shared" si="8"/>
        <v>-23.403387485728629</v>
      </c>
      <c r="AT11" s="10"/>
      <c r="AU11" s="10"/>
      <c r="AV11" s="10"/>
      <c r="AW11" s="10"/>
    </row>
    <row r="12" spans="2:49" ht="14.25" thickBot="1" x14ac:dyDescent="0.3">
      <c r="B12" s="252">
        <v>80</v>
      </c>
      <c r="C12" s="333">
        <v>127.75708105116436</v>
      </c>
      <c r="D12" s="254">
        <v>76.789748357043052</v>
      </c>
      <c r="E12" s="255">
        <v>80</v>
      </c>
      <c r="F12" s="256">
        <v>133.17776727242691</v>
      </c>
      <c r="G12" s="257">
        <v>77.056728029651708</v>
      </c>
      <c r="H12" s="258">
        <v>120.86675823691324</v>
      </c>
      <c r="I12" s="259">
        <v>70.358537315767038</v>
      </c>
      <c r="J12" s="253">
        <v>69.214254643427722</v>
      </c>
      <c r="K12" s="253">
        <v>67.0657615605774</v>
      </c>
      <c r="L12" s="253">
        <v>69.052358446568519</v>
      </c>
      <c r="M12" s="253">
        <v>59.869164020114916</v>
      </c>
      <c r="N12" s="253">
        <v>59.363946446998234</v>
      </c>
      <c r="O12" s="253">
        <v>57.679174219410079</v>
      </c>
      <c r="P12" s="254">
        <v>47.670916503134642</v>
      </c>
      <c r="Q12" s="260">
        <v>75.417308671039294</v>
      </c>
      <c r="R12" s="336">
        <v>68.836625582742215</v>
      </c>
      <c r="AC12" s="166">
        <v>4</v>
      </c>
      <c r="AD12" s="166">
        <f t="array" ref="AD12:AE12">LINEST(R20:R23,C20:C23)</f>
        <v>-0.20806967309795701</v>
      </c>
      <c r="AE12" s="166">
        <v>64.507929590223497</v>
      </c>
      <c r="AG12" s="279">
        <f>'Laskenta tulopuoli'!O48</f>
        <v>52.069137848972048</v>
      </c>
      <c r="AH12" s="130">
        <f t="shared" si="9"/>
        <v>53.673921099495423</v>
      </c>
      <c r="AK12" s="582"/>
      <c r="AL12" s="288">
        <f t="shared" si="1"/>
        <v>0.9714185192717224</v>
      </c>
      <c r="AM12" s="289">
        <f t="shared" si="2"/>
        <v>-0.53631007946962939</v>
      </c>
      <c r="AN12" s="289">
        <f t="shared" si="3"/>
        <v>-1.9729704421069556</v>
      </c>
      <c r="AO12" s="289">
        <f t="shared" si="4"/>
        <v>2.063441482798865</v>
      </c>
      <c r="AP12" s="289">
        <f t="shared" si="5"/>
        <v>-10.291438247360205</v>
      </c>
      <c r="AQ12" s="289">
        <f t="shared" si="6"/>
        <v>-12.019951114810404</v>
      </c>
      <c r="AR12" s="289">
        <f t="shared" si="7"/>
        <v>-14.889415897813812</v>
      </c>
      <c r="AS12" s="290">
        <f t="shared" si="8"/>
        <v>-25.305331045935944</v>
      </c>
      <c r="AT12" s="10"/>
      <c r="AU12" s="10"/>
      <c r="AV12" s="10"/>
      <c r="AW12" s="10"/>
    </row>
    <row r="13" spans="2:49" x14ac:dyDescent="0.25">
      <c r="B13" s="261">
        <v>80</v>
      </c>
      <c r="C13" s="334">
        <v>116.42396786050477</v>
      </c>
      <c r="D13" s="263">
        <v>162.9238946254606</v>
      </c>
      <c r="E13" s="264">
        <v>80</v>
      </c>
      <c r="F13" s="265">
        <v>122.72845539053709</v>
      </c>
      <c r="G13" s="266">
        <v>164.78058398923093</v>
      </c>
      <c r="H13" s="267">
        <v>121.53466020326017</v>
      </c>
      <c r="I13" s="268">
        <v>69.666432489070985</v>
      </c>
      <c r="J13" s="262">
        <v>69.278577579673964</v>
      </c>
      <c r="K13" s="262">
        <v>67.196407752943074</v>
      </c>
      <c r="L13" s="262">
        <v>68.710319719088957</v>
      </c>
      <c r="M13" s="262">
        <v>59.940059621616072</v>
      </c>
      <c r="N13" s="262">
        <v>59.023283595925193</v>
      </c>
      <c r="O13" s="262">
        <v>57.095572660630047</v>
      </c>
      <c r="P13" s="263">
        <v>46.914648035750197</v>
      </c>
      <c r="Q13" s="269">
        <v>75.152250287881145</v>
      </c>
      <c r="R13" s="337">
        <v>68.509408295184656</v>
      </c>
      <c r="AK13" s="571" t="s">
        <v>172</v>
      </c>
      <c r="AL13" s="283">
        <f t="shared" si="1"/>
        <v>3.3947892843015524</v>
      </c>
      <c r="AM13" s="284">
        <f t="shared" si="2"/>
        <v>2.4897450217297603</v>
      </c>
      <c r="AN13" s="284">
        <f t="shared" si="3"/>
        <v>1.6033829699647697</v>
      </c>
      <c r="AO13" s="284">
        <f t="shared" si="4"/>
        <v>-1.3159133809293024</v>
      </c>
      <c r="AP13" s="284">
        <f t="shared" si="5"/>
        <v>-8.0847837167178795</v>
      </c>
      <c r="AQ13" s="284">
        <f t="shared" si="6"/>
        <v>-8.4824311503023964</v>
      </c>
      <c r="AR13" s="284">
        <f t="shared" si="7"/>
        <v>-12.066864585373111</v>
      </c>
      <c r="AS13" s="285">
        <f t="shared" si="8"/>
        <v>-23.533362659667532</v>
      </c>
      <c r="AT13" s="10"/>
      <c r="AU13" s="10"/>
      <c r="AV13" s="10"/>
      <c r="AW13" s="10"/>
    </row>
    <row r="14" spans="2:49" x14ac:dyDescent="0.25">
      <c r="B14" s="261">
        <v>80</v>
      </c>
      <c r="C14" s="334">
        <v>103.10986018671835</v>
      </c>
      <c r="D14" s="263">
        <v>250.62899923439232</v>
      </c>
      <c r="E14" s="264">
        <v>80</v>
      </c>
      <c r="F14" s="265">
        <v>110.12586302805448</v>
      </c>
      <c r="G14" s="266">
        <v>253.24100400188266</v>
      </c>
      <c r="H14" s="267">
        <v>121.17076431353567</v>
      </c>
      <c r="I14" s="268">
        <v>70.397265416955236</v>
      </c>
      <c r="J14" s="262">
        <v>69.394526993415596</v>
      </c>
      <c r="K14" s="262">
        <v>67.775062240424404</v>
      </c>
      <c r="L14" s="262">
        <v>71.063152315776648</v>
      </c>
      <c r="M14" s="262">
        <v>59.886361372640742</v>
      </c>
      <c r="N14" s="262">
        <v>59.053577012796659</v>
      </c>
      <c r="O14" s="262">
        <v>56.69171765570777</v>
      </c>
      <c r="P14" s="263">
        <v>46.277821271672565</v>
      </c>
      <c r="Q14" s="269">
        <v>76.096898429157235</v>
      </c>
      <c r="R14" s="337">
        <v>69.681208757401194</v>
      </c>
      <c r="AC14" t="s">
        <v>317</v>
      </c>
      <c r="AK14" s="572"/>
      <c r="AL14" s="286">
        <f t="shared" si="1"/>
        <v>2.1236700024377981</v>
      </c>
      <c r="AM14" s="130">
        <f t="shared" si="2"/>
        <v>2.3205891711224425</v>
      </c>
      <c r="AN14" s="130">
        <f t="shared" si="3"/>
        <v>2.7582661823454586</v>
      </c>
      <c r="AO14" s="130">
        <f t="shared" si="4"/>
        <v>-1.4429598207156502</v>
      </c>
      <c r="AP14" s="130">
        <f t="shared" si="5"/>
        <v>-8.6179531362680706</v>
      </c>
      <c r="AQ14" s="130">
        <f t="shared" si="6"/>
        <v>-9.3952082456209141</v>
      </c>
      <c r="AR14" s="130">
        <f t="shared" si="7"/>
        <v>-13.289627299999758</v>
      </c>
      <c r="AS14" s="287">
        <f t="shared" si="8"/>
        <v>-24.646001656394411</v>
      </c>
      <c r="AT14" s="10"/>
      <c r="AU14" s="10"/>
      <c r="AV14" s="10"/>
      <c r="AW14" s="10"/>
    </row>
    <row r="15" spans="2:49" ht="14.25" x14ac:dyDescent="0.3">
      <c r="B15" s="270">
        <v>80</v>
      </c>
      <c r="C15" s="335">
        <v>87.336054084249838</v>
      </c>
      <c r="D15" s="272">
        <v>342.02617646707489</v>
      </c>
      <c r="E15" s="273">
        <v>80</v>
      </c>
      <c r="F15" s="274">
        <v>93.555143057846266</v>
      </c>
      <c r="G15" s="275">
        <v>352.30139802363641</v>
      </c>
      <c r="H15" s="276">
        <v>119.13374603431305</v>
      </c>
      <c r="I15" s="277">
        <v>72.097781571183901</v>
      </c>
      <c r="J15" s="271">
        <v>70.59005297244255</v>
      </c>
      <c r="K15" s="271">
        <v>69.153392609805223</v>
      </c>
      <c r="L15" s="271">
        <v>73.189804534711044</v>
      </c>
      <c r="M15" s="271">
        <v>60.834924804551974</v>
      </c>
      <c r="N15" s="271">
        <v>59.106411937101775</v>
      </c>
      <c r="O15" s="271">
        <v>56.236947154098367</v>
      </c>
      <c r="P15" s="272">
        <v>45.821032005976235</v>
      </c>
      <c r="Q15" s="278">
        <v>77.724870911103096</v>
      </c>
      <c r="R15" s="338">
        <v>71.126363051912179</v>
      </c>
      <c r="AC15" s="121" t="s">
        <v>318</v>
      </c>
      <c r="AK15" s="572"/>
      <c r="AL15" s="286">
        <f t="shared" si="1"/>
        <v>1.3521430433062633</v>
      </c>
      <c r="AM15" s="130">
        <f t="shared" si="2"/>
        <v>1.1919904759696394</v>
      </c>
      <c r="AN15" s="130">
        <f t="shared" si="3"/>
        <v>4.2561961212657664</v>
      </c>
      <c r="AO15" s="130">
        <f t="shared" si="4"/>
        <v>-1.9756088330079393</v>
      </c>
      <c r="AP15" s="130">
        <f t="shared" si="5"/>
        <v>-10.681381319966675</v>
      </c>
      <c r="AQ15" s="130">
        <f t="shared" si="6"/>
        <v>-11.271426092454284</v>
      </c>
      <c r="AR15" s="130">
        <f t="shared" si="7"/>
        <v>-15.305500648398535</v>
      </c>
      <c r="AS15" s="287">
        <f t="shared" si="8"/>
        <v>-26.511636222524778</v>
      </c>
      <c r="AT15" s="10"/>
      <c r="AU15" s="10"/>
      <c r="AV15" s="10"/>
      <c r="AW15" s="10"/>
    </row>
    <row r="16" spans="2:49" ht="16.5" thickBot="1" x14ac:dyDescent="0.35">
      <c r="B16" s="252">
        <v>60</v>
      </c>
      <c r="C16" s="333">
        <v>88.788078943155</v>
      </c>
      <c r="D16" s="254">
        <v>39.743609124490369</v>
      </c>
      <c r="E16" s="255">
        <v>60</v>
      </c>
      <c r="F16" s="256">
        <v>96.131260461609799</v>
      </c>
      <c r="G16" s="257">
        <v>41.54895067891286</v>
      </c>
      <c r="H16" s="258">
        <v>58.473118648085901</v>
      </c>
      <c r="I16" s="259">
        <v>64.94560191874703</v>
      </c>
      <c r="J16" s="253">
        <v>64.040557656175238</v>
      </c>
      <c r="K16" s="253">
        <v>63.154195604410248</v>
      </c>
      <c r="L16" s="253">
        <v>60.234899253516176</v>
      </c>
      <c r="M16" s="253">
        <v>53.466028917727598</v>
      </c>
      <c r="N16" s="253">
        <v>53.068381484143082</v>
      </c>
      <c r="O16" s="253">
        <v>49.483948049072367</v>
      </c>
      <c r="P16" s="254">
        <v>38.017449974777946</v>
      </c>
      <c r="Q16" s="260">
        <v>69.685424658219134</v>
      </c>
      <c r="R16" s="336">
        <v>61.550812634445478</v>
      </c>
      <c r="AC16" s="121" t="s">
        <v>319</v>
      </c>
      <c r="AF16" s="5"/>
      <c r="AK16" s="572"/>
      <c r="AL16" s="288">
        <f t="shared" si="1"/>
        <v>0.47740681644954464</v>
      </c>
      <c r="AM16" s="289">
        <f t="shared" si="2"/>
        <v>0.25764675438112761</v>
      </c>
      <c r="AN16" s="289">
        <f t="shared" si="3"/>
        <v>5.321875761851274</v>
      </c>
      <c r="AO16" s="289">
        <f t="shared" si="4"/>
        <v>-3.4285257878797921</v>
      </c>
      <c r="AP16" s="289">
        <f t="shared" si="5"/>
        <v>-12.337560017144931</v>
      </c>
      <c r="AQ16" s="289">
        <f t="shared" si="6"/>
        <v>-13.498443948690763</v>
      </c>
      <c r="AR16" s="289">
        <f t="shared" si="7"/>
        <v>-17.660699302496212</v>
      </c>
      <c r="AS16" s="290">
        <f t="shared" si="8"/>
        <v>-28.805100538403551</v>
      </c>
      <c r="AT16" s="10"/>
      <c r="AU16" s="10"/>
      <c r="AV16" s="10"/>
      <c r="AW16" s="10"/>
    </row>
    <row r="17" spans="2:49" x14ac:dyDescent="0.25">
      <c r="B17" s="261">
        <v>60</v>
      </c>
      <c r="C17" s="334">
        <v>81.733506658449841</v>
      </c>
      <c r="D17" s="263">
        <v>84.296604519218192</v>
      </c>
      <c r="E17" s="264">
        <v>60</v>
      </c>
      <c r="F17" s="265">
        <v>89.725188181447535</v>
      </c>
      <c r="G17" s="266">
        <v>88.190203045012638</v>
      </c>
      <c r="H17" s="267">
        <v>58.683065821064773</v>
      </c>
      <c r="I17" s="268">
        <v>64.378889864090127</v>
      </c>
      <c r="J17" s="262">
        <v>64.575809032774771</v>
      </c>
      <c r="K17" s="262">
        <v>65.013486043997787</v>
      </c>
      <c r="L17" s="262">
        <v>60.812260040936678</v>
      </c>
      <c r="M17" s="262">
        <v>53.637266725384258</v>
      </c>
      <c r="N17" s="262">
        <v>52.860011616031414</v>
      </c>
      <c r="O17" s="262">
        <v>48.965592561652571</v>
      </c>
      <c r="P17" s="263">
        <v>37.609218205257918</v>
      </c>
      <c r="Q17" s="269">
        <v>70.210027982561343</v>
      </c>
      <c r="R17" s="337">
        <v>62.255219861652328</v>
      </c>
      <c r="AC17" s="166" t="s">
        <v>6</v>
      </c>
      <c r="AD17" s="166" t="s">
        <v>7</v>
      </c>
      <c r="AK17" s="573" t="s">
        <v>171</v>
      </c>
      <c r="AL17" s="291">
        <f t="shared" si="1"/>
        <v>2.1129754932551847</v>
      </c>
      <c r="AM17" s="284">
        <f t="shared" si="2"/>
        <v>4.1645790978097281</v>
      </c>
      <c r="AN17" s="284">
        <f t="shared" si="3"/>
        <v>5.0821587278677001</v>
      </c>
      <c r="AO17" s="284">
        <f t="shared" si="4"/>
        <v>-2.4019576955815154</v>
      </c>
      <c r="AP17" s="284">
        <f t="shared" si="5"/>
        <v>-8.7228678398774946</v>
      </c>
      <c r="AQ17" s="284">
        <f t="shared" si="6"/>
        <v>-10.824263543425744</v>
      </c>
      <c r="AR17" s="284">
        <f t="shared" si="7"/>
        <v>-15.946136608423124</v>
      </c>
      <c r="AS17" s="285">
        <f t="shared" si="8"/>
        <v>-28.512947570648301</v>
      </c>
      <c r="AT17" s="10"/>
      <c r="AU17" s="10"/>
      <c r="AV17" s="10"/>
      <c r="AW17" s="10"/>
    </row>
    <row r="18" spans="2:49" x14ac:dyDescent="0.25">
      <c r="B18" s="261">
        <v>60</v>
      </c>
      <c r="C18" s="334">
        <v>73.137106451144177</v>
      </c>
      <c r="D18" s="263">
        <v>130.66124013171594</v>
      </c>
      <c r="E18" s="264">
        <v>60</v>
      </c>
      <c r="F18" s="265">
        <v>81.086256310220094</v>
      </c>
      <c r="G18" s="266">
        <v>136.81538008238832</v>
      </c>
      <c r="H18" s="267">
        <v>58.56218080604846</v>
      </c>
      <c r="I18" s="268">
        <v>65.22166751746839</v>
      </c>
      <c r="J18" s="262">
        <v>65.061514950131766</v>
      </c>
      <c r="K18" s="262">
        <v>68.125720595427893</v>
      </c>
      <c r="L18" s="262">
        <v>61.893915641154187</v>
      </c>
      <c r="M18" s="262">
        <v>53.188143154195451</v>
      </c>
      <c r="N18" s="262">
        <v>52.598098381707842</v>
      </c>
      <c r="O18" s="262">
        <v>48.564023825763591</v>
      </c>
      <c r="P18" s="263">
        <v>37.357888251637348</v>
      </c>
      <c r="Q18" s="269">
        <v>71.773731958366426</v>
      </c>
      <c r="R18" s="337">
        <v>63.869524474162127</v>
      </c>
      <c r="AC18" s="280">
        <f t="array" ref="AC18:AD18">LINEST(AH9:AH12,LN(AG9:AG12))</f>
        <v>17.556094878697596</v>
      </c>
      <c r="AD18" s="280">
        <v>-16.006072181026617</v>
      </c>
      <c r="AK18" s="574"/>
      <c r="AL18" s="292">
        <f t="shared" si="1"/>
        <v>1.1606885706254246</v>
      </c>
      <c r="AM18" s="130">
        <f t="shared" si="2"/>
        <v>4.1344776274427275</v>
      </c>
      <c r="AN18" s="130">
        <f t="shared" si="3"/>
        <v>6.7295413060512459</v>
      </c>
      <c r="AO18" s="130">
        <f t="shared" si="4"/>
        <v>-3.3140885788891836</v>
      </c>
      <c r="AP18" s="130">
        <f t="shared" si="5"/>
        <v>-9.7764626707352278</v>
      </c>
      <c r="AQ18" s="130">
        <f t="shared" si="6"/>
        <v>-12.336373704788024</v>
      </c>
      <c r="AR18" s="130">
        <f t="shared" si="7"/>
        <v>-17.622489119730645</v>
      </c>
      <c r="AS18" s="287">
        <f t="shared" si="8"/>
        <v>-30.583269354641445</v>
      </c>
      <c r="AT18" s="10"/>
      <c r="AU18" s="10"/>
      <c r="AV18" s="10"/>
      <c r="AW18" s="10"/>
    </row>
    <row r="19" spans="2:49" x14ac:dyDescent="0.25">
      <c r="B19" s="270">
        <v>60</v>
      </c>
      <c r="C19" s="335">
        <v>62.463574142312737</v>
      </c>
      <c r="D19" s="272">
        <v>180.53564477885135</v>
      </c>
      <c r="E19" s="273">
        <v>60</v>
      </c>
      <c r="F19" s="274">
        <v>69.368286999788822</v>
      </c>
      <c r="G19" s="275">
        <v>189.90237493373721</v>
      </c>
      <c r="H19" s="276">
        <v>57.836187478543252</v>
      </c>
      <c r="I19" s="277">
        <v>66.395547805323304</v>
      </c>
      <c r="J19" s="271">
        <v>66.175787743254887</v>
      </c>
      <c r="K19" s="271">
        <v>71.240016750725033</v>
      </c>
      <c r="L19" s="271">
        <v>62.489615200993967</v>
      </c>
      <c r="M19" s="271">
        <v>53.580580971728828</v>
      </c>
      <c r="N19" s="271">
        <v>52.419697040182996</v>
      </c>
      <c r="O19" s="271">
        <v>48.257441686377547</v>
      </c>
      <c r="P19" s="272">
        <v>37.113040450470208</v>
      </c>
      <c r="Q19" s="278">
        <v>73.812876615370243</v>
      </c>
      <c r="R19" s="338">
        <v>65.918140988873759</v>
      </c>
      <c r="AF19" s="281"/>
      <c r="AK19" s="574"/>
      <c r="AL19" s="292">
        <f t="shared" si="1"/>
        <v>1.6032299582802452</v>
      </c>
      <c r="AM19" s="130">
        <f t="shared" si="2"/>
        <v>5.145651291604068</v>
      </c>
      <c r="AN19" s="130">
        <f t="shared" si="3"/>
        <v>7.6839133427518647</v>
      </c>
      <c r="AO19" s="130">
        <f t="shared" si="4"/>
        <v>-4.4267558035894936</v>
      </c>
      <c r="AP19" s="130">
        <f t="shared" si="5"/>
        <v>-10.379508628077545</v>
      </c>
      <c r="AQ19" s="130">
        <f t="shared" si="6"/>
        <v>-13.25985337917502</v>
      </c>
      <c r="AR19" s="130">
        <f t="shared" si="7"/>
        <v>-18.536530521177291</v>
      </c>
      <c r="AS19" s="287">
        <f t="shared" si="8"/>
        <v>-29.417563567216124</v>
      </c>
      <c r="AT19" s="10"/>
      <c r="AU19" s="10"/>
      <c r="AV19" s="10"/>
      <c r="AW19" s="10"/>
    </row>
    <row r="20" spans="2:49" ht="14.25" thickBot="1" x14ac:dyDescent="0.3">
      <c r="B20" s="252">
        <v>40</v>
      </c>
      <c r="C20" s="333">
        <v>53.251415455377767</v>
      </c>
      <c r="D20" s="254">
        <v>14.652642386229754</v>
      </c>
      <c r="E20" s="255">
        <v>40</v>
      </c>
      <c r="F20" s="256">
        <v>60.982402694827016</v>
      </c>
      <c r="G20" s="257">
        <v>17.819976690537352</v>
      </c>
      <c r="H20" s="258">
        <v>26.517490403205262</v>
      </c>
      <c r="I20" s="259">
        <v>55.457043726333886</v>
      </c>
      <c r="J20" s="253">
        <v>57.508647330888429</v>
      </c>
      <c r="K20" s="253">
        <v>58.426226960946401</v>
      </c>
      <c r="L20" s="253">
        <v>50.942110537497186</v>
      </c>
      <c r="M20" s="253">
        <v>44.621200393201207</v>
      </c>
      <c r="N20" s="253">
        <v>42.519804689652958</v>
      </c>
      <c r="O20" s="253">
        <v>37.397931624655577</v>
      </c>
      <c r="P20" s="254">
        <v>24.831120662430401</v>
      </c>
      <c r="Q20" s="260">
        <v>62.522880738369118</v>
      </c>
      <c r="R20" s="336">
        <v>53.344068233078701</v>
      </c>
      <c r="AC20" t="s">
        <v>323</v>
      </c>
      <c r="AK20" s="575"/>
      <c r="AL20" s="293">
        <f t="shared" si="1"/>
        <v>1.5748276616025123</v>
      </c>
      <c r="AM20" s="167">
        <f t="shared" si="2"/>
        <v>5.8050215198144812</v>
      </c>
      <c r="AN20" s="167">
        <f t="shared" si="3"/>
        <v>8.0652802376950206</v>
      </c>
      <c r="AO20" s="167">
        <f t="shared" si="4"/>
        <v>-4.8309145378240856</v>
      </c>
      <c r="AP20" s="167">
        <f t="shared" si="5"/>
        <v>-10.593648091132721</v>
      </c>
      <c r="AQ20" s="167">
        <f t="shared" si="6"/>
        <v>-15.032080800757697</v>
      </c>
      <c r="AR20" s="167">
        <f t="shared" si="7"/>
        <v>-20.506826909246307</v>
      </c>
      <c r="AS20" s="294">
        <f t="shared" si="8"/>
        <v>-32.91925590734305</v>
      </c>
      <c r="AT20" s="10"/>
      <c r="AU20" s="10"/>
      <c r="AV20" s="10"/>
      <c r="AW20" s="10" t="s">
        <v>330</v>
      </c>
    </row>
    <row r="21" spans="2:49" ht="14.25" thickTop="1" x14ac:dyDescent="0.25">
      <c r="B21" s="261">
        <v>40</v>
      </c>
      <c r="C21" s="334">
        <v>49.219569997287564</v>
      </c>
      <c r="D21" s="263">
        <v>32.244088908008287</v>
      </c>
      <c r="E21" s="264">
        <v>40</v>
      </c>
      <c r="F21" s="265">
        <v>57.873574937333466</v>
      </c>
      <c r="G21" s="266">
        <v>34.720003957353967</v>
      </c>
      <c r="H21" s="267">
        <v>26.221126365601453</v>
      </c>
      <c r="I21" s="268">
        <v>55.558249873865279</v>
      </c>
      <c r="J21" s="262">
        <v>58.532038930682582</v>
      </c>
      <c r="K21" s="262">
        <v>61.1271026092911</v>
      </c>
      <c r="L21" s="262">
        <v>51.083472724350671</v>
      </c>
      <c r="M21" s="262">
        <v>44.621098632504626</v>
      </c>
      <c r="N21" s="262">
        <v>42.061187598451831</v>
      </c>
      <c r="O21" s="262">
        <v>36.775072183509209</v>
      </c>
      <c r="P21" s="263">
        <v>23.814291948598409</v>
      </c>
      <c r="Q21" s="269">
        <v>64.06113529836415</v>
      </c>
      <c r="R21" s="337">
        <v>54.397561303239854</v>
      </c>
      <c r="AC21" s="116">
        <f>'Laskenta tulopuoli'!I24</f>
        <v>84</v>
      </c>
      <c r="AD21" t="s">
        <v>223</v>
      </c>
      <c r="AE21" s="159" t="s">
        <v>321</v>
      </c>
      <c r="AF21" s="119" t="s">
        <v>185</v>
      </c>
      <c r="AG21" s="282">
        <f>AC18*LN(AC21)+AD18</f>
        <v>61.781767929593748</v>
      </c>
      <c r="AH21" s="6" t="s">
        <v>189</v>
      </c>
      <c r="AI21" t="s">
        <v>180</v>
      </c>
      <c r="AK21" s="295">
        <v>10</v>
      </c>
      <c r="AL21" s="296">
        <f>ROUND(AVERAGE(AL5:AL8),0)</f>
        <v>1</v>
      </c>
      <c r="AM21" s="297">
        <f t="shared" ref="AM21:AS21" si="10">ROUND(AVERAGE(AM5:AM8),0)</f>
        <v>-2</v>
      </c>
      <c r="AN21" s="297">
        <f t="shared" si="10"/>
        <v>-5</v>
      </c>
      <c r="AO21" s="297">
        <f t="shared" si="10"/>
        <v>1</v>
      </c>
      <c r="AP21" s="297">
        <f t="shared" si="10"/>
        <v>-11</v>
      </c>
      <c r="AQ21" s="297">
        <f t="shared" si="10"/>
        <v>-12</v>
      </c>
      <c r="AR21" s="297">
        <f t="shared" si="10"/>
        <v>-13</v>
      </c>
      <c r="AS21" s="298">
        <f t="shared" si="10"/>
        <v>-23</v>
      </c>
      <c r="AT21" s="3">
        <f t="array" ref="AT21">10*LOG10(SUM(10^((AL21:AS21+$AL$128:$AS$128)/10)))</f>
        <v>-0.48509643395432478</v>
      </c>
      <c r="AU21" s="10" t="str">
        <f>IF(ABS(AT21)&lt;0.5,"OK","TARKASTA")</f>
        <v>OK</v>
      </c>
      <c r="AV21" s="10"/>
      <c r="AW21" s="10">
        <f>ABS(AK21-'Laskenta tulopuoli'!$N$64)</f>
        <v>4.2112996283892619</v>
      </c>
    </row>
    <row r="22" spans="2:49" x14ac:dyDescent="0.25">
      <c r="B22" s="261">
        <v>40</v>
      </c>
      <c r="C22" s="334">
        <v>44.451052803998685</v>
      </c>
      <c r="D22" s="263">
        <v>49.933365723620902</v>
      </c>
      <c r="E22" s="264">
        <v>40</v>
      </c>
      <c r="F22" s="265">
        <v>52.539268689977625</v>
      </c>
      <c r="G22" s="266">
        <v>55.254489837712079</v>
      </c>
      <c r="H22" s="267">
        <v>25.8622197444991</v>
      </c>
      <c r="I22" s="268">
        <v>56.833907544726429</v>
      </c>
      <c r="J22" s="262">
        <v>60.376328878050252</v>
      </c>
      <c r="K22" s="262">
        <v>62.914590929198049</v>
      </c>
      <c r="L22" s="262">
        <v>50.80392178285669</v>
      </c>
      <c r="M22" s="262">
        <v>44.851168958368639</v>
      </c>
      <c r="N22" s="262">
        <v>41.970824207271164</v>
      </c>
      <c r="O22" s="262">
        <v>36.694147065268893</v>
      </c>
      <c r="P22" s="263">
        <v>25.81311401923006</v>
      </c>
      <c r="Q22" s="269">
        <v>65.683183728712379</v>
      </c>
      <c r="R22" s="337">
        <v>55.230677586446184</v>
      </c>
      <c r="AK22" s="299">
        <v>8</v>
      </c>
      <c r="AL22" s="300">
        <f>ROUND(AVERAGE(AL9:AL12),0)</f>
        <v>1</v>
      </c>
      <c r="AM22" s="301">
        <f t="shared" ref="AM22:AS22" si="11">ROUND(AVERAGE(AM9:AM12),0)</f>
        <v>0</v>
      </c>
      <c r="AN22" s="301">
        <f t="shared" si="11"/>
        <v>-2</v>
      </c>
      <c r="AO22" s="301">
        <f t="shared" si="11"/>
        <v>1</v>
      </c>
      <c r="AP22" s="301">
        <f t="shared" si="11"/>
        <v>-9</v>
      </c>
      <c r="AQ22" s="301">
        <f t="shared" si="11"/>
        <v>-10</v>
      </c>
      <c r="AR22" s="301">
        <f t="shared" si="11"/>
        <v>-13</v>
      </c>
      <c r="AS22" s="302">
        <f t="shared" si="11"/>
        <v>-23</v>
      </c>
      <c r="AT22" s="3">
        <f t="array" ref="AT22">10*LOG10(SUM(10^((AL22:AS22+$AL$128:$AS$128)/10)))</f>
        <v>0.17837453535412581</v>
      </c>
      <c r="AU22" s="10" t="str">
        <f t="shared" ref="AU22:AU24" si="12">IF(ABS(AT22)&lt;0.5,"OK","TARKASTA")</f>
        <v>OK</v>
      </c>
      <c r="AV22" s="10"/>
      <c r="AW22" s="10">
        <f>ABS(AK22-'Laskenta tulopuoli'!$N$64)</f>
        <v>2.2112996283892619</v>
      </c>
    </row>
    <row r="23" spans="2:49" x14ac:dyDescent="0.25">
      <c r="B23" s="270">
        <v>40</v>
      </c>
      <c r="C23" s="335">
        <v>38.270824043288314</v>
      </c>
      <c r="D23" s="272">
        <v>69.716154302435584</v>
      </c>
      <c r="E23" s="273">
        <v>40</v>
      </c>
      <c r="F23" s="274">
        <v>44.7489556644001</v>
      </c>
      <c r="G23" s="275">
        <v>77.701926136145616</v>
      </c>
      <c r="H23" s="276">
        <v>25.383526265478636</v>
      </c>
      <c r="I23" s="277">
        <v>58.101220580905732</v>
      </c>
      <c r="J23" s="271">
        <v>62.331414439117701</v>
      </c>
      <c r="K23" s="271">
        <v>64.59167315699824</v>
      </c>
      <c r="L23" s="271">
        <v>51.695478381479134</v>
      </c>
      <c r="M23" s="271">
        <v>45.932744828170499</v>
      </c>
      <c r="N23" s="271">
        <v>41.494312118545523</v>
      </c>
      <c r="O23" s="271">
        <v>36.019566010056913</v>
      </c>
      <c r="P23" s="272">
        <v>23.60713701196017</v>
      </c>
      <c r="Q23" s="278">
        <v>67.35615384806654</v>
      </c>
      <c r="R23" s="338">
        <v>56.52639291930322</v>
      </c>
      <c r="AK23" s="299">
        <v>6</v>
      </c>
      <c r="AL23" s="300">
        <f>ROUND(AVERAGE(AL14:AL16),0)</f>
        <v>1</v>
      </c>
      <c r="AM23" s="301">
        <f>ROUND(AVERAGE(AM14:AM16),0)</f>
        <v>1</v>
      </c>
      <c r="AN23" s="301">
        <f>ROUND(AVERAGE(AN14:AN16),0)</f>
        <v>4</v>
      </c>
      <c r="AO23" s="301">
        <f t="shared" ref="AO23:AS23" si="13">ROUND(AVERAGE(AO13:AO16),0)</f>
        <v>-2</v>
      </c>
      <c r="AP23" s="301">
        <f t="shared" si="13"/>
        <v>-10</v>
      </c>
      <c r="AQ23" s="301">
        <f t="shared" si="13"/>
        <v>-11</v>
      </c>
      <c r="AR23" s="301">
        <f t="shared" si="13"/>
        <v>-15</v>
      </c>
      <c r="AS23" s="302">
        <f t="shared" si="13"/>
        <v>-26</v>
      </c>
      <c r="AT23" s="3">
        <f t="array" ref="AT23">10*LOG10(SUM(10^((AL23:AS23+$AL$128:$AS$128)/10)))</f>
        <v>-0.31924290662276122</v>
      </c>
      <c r="AU23" s="10" t="str">
        <f t="shared" si="12"/>
        <v>OK</v>
      </c>
      <c r="AV23" s="10"/>
      <c r="AW23" s="10">
        <f>ABS(AK23-'Laskenta tulopuoli'!$N$64)</f>
        <v>0.21129962838926186</v>
      </c>
    </row>
    <row r="24" spans="2:49" ht="14.25" thickBot="1" x14ac:dyDescent="0.3">
      <c r="AK24" s="303">
        <v>4</v>
      </c>
      <c r="AL24" s="304">
        <f>ROUND(AVERAGE(AL17:AL20),0)</f>
        <v>2</v>
      </c>
      <c r="AM24" s="305">
        <f>ROUND(AVERAGE(AM17:AM19),0)</f>
        <v>4</v>
      </c>
      <c r="AN24" s="305">
        <f>ROUND(AVERAGE(AN17:AN19),0)</f>
        <v>6</v>
      </c>
      <c r="AO24" s="305">
        <f t="shared" ref="AO24:AS24" si="14">ROUND(AVERAGE(AO17:AO20),0)</f>
        <v>-4</v>
      </c>
      <c r="AP24" s="305">
        <f t="shared" si="14"/>
        <v>-10</v>
      </c>
      <c r="AQ24" s="305">
        <f t="shared" si="14"/>
        <v>-13</v>
      </c>
      <c r="AR24" s="305">
        <f t="shared" si="14"/>
        <v>-18</v>
      </c>
      <c r="AS24" s="306">
        <f t="shared" si="14"/>
        <v>-30</v>
      </c>
      <c r="AT24" s="3">
        <f t="array" ref="AT24">10*LOG10(SUM(10^((AL24:AS24+$AL$128:$AS$128)/10)))</f>
        <v>-3.3366337084807386E-2</v>
      </c>
      <c r="AU24" s="10" t="str">
        <f t="shared" si="12"/>
        <v>OK</v>
      </c>
      <c r="AW24" s="10">
        <f>ABS(AK24-'Laskenta tulopuoli'!$N$64)</f>
        <v>1.7887003716107381</v>
      </c>
    </row>
    <row r="25" spans="2:49" x14ac:dyDescent="0.25">
      <c r="AK25" s="310" t="s">
        <v>184</v>
      </c>
      <c r="AL25" s="311" cm="1">
        <f t="array" ref="AL25">INDEX(AL21:AL24,$AW$25)</f>
        <v>1</v>
      </c>
      <c r="AM25" s="311" cm="1">
        <f t="array" ref="AM25">INDEX(AM21:AM24,$AW$25)</f>
        <v>1</v>
      </c>
      <c r="AN25" s="311" cm="1">
        <f t="array" ref="AN25">INDEX(AN21:AN24,$AW$25)</f>
        <v>4</v>
      </c>
      <c r="AO25" s="311" cm="1">
        <f t="array" ref="AO25">INDEX(AO21:AO24,$AW$25)</f>
        <v>-2</v>
      </c>
      <c r="AP25" s="311" cm="1">
        <f t="array" ref="AP25">INDEX(AP21:AP24,$AW$25)</f>
        <v>-10</v>
      </c>
      <c r="AQ25" s="311" cm="1">
        <f t="array" ref="AQ25">INDEX(AQ21:AQ24,$AW$25)</f>
        <v>-11</v>
      </c>
      <c r="AR25" s="311" cm="1">
        <f t="array" ref="AR25">INDEX(AR21:AR24,$AW$25)</f>
        <v>-15</v>
      </c>
      <c r="AS25" s="311" cm="1">
        <f t="array" ref="AS25">INDEX(AS21:AS24,$AW$25)</f>
        <v>-26</v>
      </c>
      <c r="AT25" s="166" t="s">
        <v>188</v>
      </c>
      <c r="AU25" s="130" t="s">
        <v>331</v>
      </c>
      <c r="AW25" s="6">
        <f>MATCH(MIN(AW21:AW24),AW21:AW24,0)</f>
        <v>3</v>
      </c>
    </row>
    <row r="26" spans="2:49" x14ac:dyDescent="0.25">
      <c r="AK26" s="158" t="s">
        <v>329</v>
      </c>
      <c r="AL26" s="307">
        <f>$AG$21+AL25</f>
        <v>62.781767929593748</v>
      </c>
      <c r="AM26" s="307">
        <f t="shared" ref="AM26:AS26" si="15">$AG$21+AM25</f>
        <v>62.781767929593748</v>
      </c>
      <c r="AN26" s="307">
        <f t="shared" si="15"/>
        <v>65.781767929593741</v>
      </c>
      <c r="AO26" s="307">
        <f t="shared" si="15"/>
        <v>59.781767929593748</v>
      </c>
      <c r="AP26" s="307">
        <f t="shared" si="15"/>
        <v>51.781767929593748</v>
      </c>
      <c r="AQ26" s="307">
        <f t="shared" si="15"/>
        <v>50.781767929593748</v>
      </c>
      <c r="AR26" s="307">
        <f t="shared" si="15"/>
        <v>46.781767929593748</v>
      </c>
      <c r="AS26" s="308">
        <f t="shared" si="15"/>
        <v>35.781767929593748</v>
      </c>
      <c r="AT26" s="309">
        <f t="array" ref="AT26">10*LOG10(SUM(10^(AL26:AS26/10)))</f>
        <v>69.471301120615038</v>
      </c>
      <c r="AU26" s="309">
        <f t="array" ref="AU26">10*LOG10(SUM(10^((AL26:AS26+$AL$128:$AS$128)/10)))</f>
        <v>61.462525022970993</v>
      </c>
    </row>
    <row r="28" spans="2:49" ht="14.25" thickBot="1" x14ac:dyDescent="0.3">
      <c r="B28" s="6" t="s">
        <v>310</v>
      </c>
      <c r="AL28" s="24" t="str">
        <f t="shared" ref="AL28:AS28" si="16">I30</f>
        <v>63 Hz</v>
      </c>
      <c r="AM28" s="24" t="str">
        <f t="shared" si="16"/>
        <v>125 Hz</v>
      </c>
      <c r="AN28" s="24" t="str">
        <f t="shared" si="16"/>
        <v>250 Hz</v>
      </c>
      <c r="AO28" s="24" t="str">
        <f t="shared" si="16"/>
        <v>500 Hz</v>
      </c>
      <c r="AP28" s="24" t="str">
        <f t="shared" si="16"/>
        <v>1 kHz</v>
      </c>
      <c r="AQ28" s="24" t="str">
        <f t="shared" si="16"/>
        <v>2 kHz</v>
      </c>
      <c r="AR28" s="24" t="str">
        <f t="shared" si="16"/>
        <v>4 kHz</v>
      </c>
      <c r="AS28" s="24" t="str">
        <f t="shared" si="16"/>
        <v>8 kHz</v>
      </c>
    </row>
    <row r="29" spans="2:49" ht="15.75" x14ac:dyDescent="0.3">
      <c r="B29" s="587" t="s">
        <v>0</v>
      </c>
      <c r="C29" s="588"/>
      <c r="D29" s="589"/>
      <c r="E29" s="605" t="s">
        <v>2</v>
      </c>
      <c r="F29" s="606"/>
      <c r="G29" s="607"/>
      <c r="H29" s="576" t="s">
        <v>174</v>
      </c>
      <c r="I29" s="587" t="s">
        <v>175</v>
      </c>
      <c r="J29" s="588"/>
      <c r="K29" s="588"/>
      <c r="L29" s="588"/>
      <c r="M29" s="588"/>
      <c r="N29" s="588"/>
      <c r="O29" s="588"/>
      <c r="P29" s="589"/>
      <c r="Q29" s="591" t="s">
        <v>176</v>
      </c>
      <c r="R29" s="576" t="s">
        <v>177</v>
      </c>
      <c r="AC29" t="s">
        <v>313</v>
      </c>
      <c r="AK29" s="571" t="s">
        <v>173</v>
      </c>
      <c r="AL29" s="283">
        <f t="shared" ref="AL29:AL44" si="17">I32-$R32</f>
        <v>7.3318069324149562</v>
      </c>
      <c r="AM29" s="284">
        <f t="shared" ref="AM29:AM44" si="18">J32-$R32</f>
        <v>3.810421647450589</v>
      </c>
      <c r="AN29" s="284">
        <f t="shared" ref="AN29:AN44" si="19">K32-$R32</f>
        <v>1.1707486253647446</v>
      </c>
      <c r="AO29" s="284">
        <f t="shared" ref="AO29:AO44" si="20">L32-$R32</f>
        <v>-0.94068924218902339</v>
      </c>
      <c r="AP29" s="284">
        <f t="shared" ref="AP29:AP44" si="21">M32-$R32</f>
        <v>-6.9849720636325046</v>
      </c>
      <c r="AQ29" s="284">
        <f t="shared" ref="AQ29:AQ44" si="22">N32-$R32</f>
        <v>-9.6118125998360924</v>
      </c>
      <c r="AR29" s="284">
        <f t="shared" ref="AR29:AR44" si="23">O32-$R32</f>
        <v>-15.061992745535512</v>
      </c>
      <c r="AS29" s="285">
        <f t="shared" ref="AS29:AS44" si="24">P32-$R32</f>
        <v>-24.080952672909667</v>
      </c>
    </row>
    <row r="30" spans="2:49" ht="14.25" x14ac:dyDescent="0.3">
      <c r="B30" s="595" t="s">
        <v>178</v>
      </c>
      <c r="C30" s="597" t="s">
        <v>179</v>
      </c>
      <c r="D30" s="583" t="s">
        <v>304</v>
      </c>
      <c r="E30" s="599" t="s">
        <v>305</v>
      </c>
      <c r="F30" s="601" t="s">
        <v>306</v>
      </c>
      <c r="G30" s="603" t="s">
        <v>307</v>
      </c>
      <c r="H30" s="590"/>
      <c r="I30" s="585" t="s">
        <v>162</v>
      </c>
      <c r="J30" s="578" t="s">
        <v>163</v>
      </c>
      <c r="K30" s="578" t="s">
        <v>164</v>
      </c>
      <c r="L30" s="578" t="s">
        <v>165</v>
      </c>
      <c r="M30" s="578" t="s">
        <v>166</v>
      </c>
      <c r="N30" s="578" t="s">
        <v>167</v>
      </c>
      <c r="O30" s="578" t="s">
        <v>168</v>
      </c>
      <c r="P30" s="580" t="s">
        <v>169</v>
      </c>
      <c r="Q30" s="592"/>
      <c r="R30" s="590"/>
      <c r="AC30" s="121" t="s">
        <v>314</v>
      </c>
      <c r="AK30" s="572"/>
      <c r="AL30" s="286">
        <f t="shared" si="17"/>
        <v>6.4689745240427143</v>
      </c>
      <c r="AM30" s="130">
        <f t="shared" si="18"/>
        <v>5.7577056241205113</v>
      </c>
      <c r="AN30" s="130">
        <f t="shared" si="19"/>
        <v>1.8133901858476449</v>
      </c>
      <c r="AO30" s="130">
        <f t="shared" si="20"/>
        <v>-1.1452985612384836</v>
      </c>
      <c r="AP30" s="130">
        <f t="shared" si="21"/>
        <v>-7.0186066600474533</v>
      </c>
      <c r="AQ30" s="130">
        <f t="shared" si="22"/>
        <v>-9.3782037324896024</v>
      </c>
      <c r="AR30" s="130">
        <f t="shared" si="23"/>
        <v>-17.317640919025195</v>
      </c>
      <c r="AS30" s="287">
        <f t="shared" si="24"/>
        <v>-26.214386679305804</v>
      </c>
    </row>
    <row r="31" spans="2:49" x14ac:dyDescent="0.25">
      <c r="B31" s="596"/>
      <c r="C31" s="598"/>
      <c r="D31" s="584"/>
      <c r="E31" s="600"/>
      <c r="F31" s="602"/>
      <c r="G31" s="604"/>
      <c r="H31" s="577"/>
      <c r="I31" s="586"/>
      <c r="J31" s="579"/>
      <c r="K31" s="579"/>
      <c r="L31" s="579"/>
      <c r="M31" s="579"/>
      <c r="N31" s="579"/>
      <c r="O31" s="579"/>
      <c r="P31" s="581"/>
      <c r="Q31" s="593"/>
      <c r="R31" s="594"/>
      <c r="AG31" t="s">
        <v>320</v>
      </c>
      <c r="AK31" s="572"/>
      <c r="AL31" s="286">
        <f t="shared" si="17"/>
        <v>7.3473301378675231</v>
      </c>
      <c r="AM31" s="130">
        <f t="shared" si="18"/>
        <v>6.7107013097999229</v>
      </c>
      <c r="AN31" s="130">
        <f t="shared" si="19"/>
        <v>1.7597105351061586</v>
      </c>
      <c r="AO31" s="130">
        <f t="shared" si="20"/>
        <v>-0.54678059610443341</v>
      </c>
      <c r="AP31" s="130">
        <f t="shared" si="21"/>
        <v>-7.2731553125764137</v>
      </c>
      <c r="AQ31" s="130">
        <f t="shared" si="22"/>
        <v>-10.369304092413508</v>
      </c>
      <c r="AR31" s="130">
        <f t="shared" si="23"/>
        <v>-19.849771093324165</v>
      </c>
      <c r="AS31" s="287">
        <f t="shared" si="24"/>
        <v>-29.271135969666936</v>
      </c>
    </row>
    <row r="32" spans="2:49" ht="15.75" thickBot="1" x14ac:dyDescent="0.35">
      <c r="B32" s="252">
        <v>100</v>
      </c>
      <c r="C32" s="333">
        <v>151.40937714925482</v>
      </c>
      <c r="D32" s="254">
        <v>102.37757880274451</v>
      </c>
      <c r="E32" s="255">
        <v>100</v>
      </c>
      <c r="F32" s="256">
        <v>156.77202829819038</v>
      </c>
      <c r="G32" s="257">
        <v>104.77336359822142</v>
      </c>
      <c r="H32" s="258">
        <v>178.56230902789699</v>
      </c>
      <c r="I32" s="259">
        <v>70.48475714810175</v>
      </c>
      <c r="J32" s="253">
        <v>66.963371863137382</v>
      </c>
      <c r="K32" s="253">
        <v>64.323698841051538</v>
      </c>
      <c r="L32" s="253">
        <v>62.21226097349777</v>
      </c>
      <c r="M32" s="253">
        <v>56.167978152054289</v>
      </c>
      <c r="N32" s="253">
        <v>53.541137615850701</v>
      </c>
      <c r="O32" s="253">
        <v>48.090957470151281</v>
      </c>
      <c r="P32" s="254">
        <v>39.071997542777126</v>
      </c>
      <c r="Q32" s="260">
        <v>73.270218186733103</v>
      </c>
      <c r="R32" s="336">
        <v>63.152950215686793</v>
      </c>
      <c r="AC32" s="166" t="s">
        <v>315</v>
      </c>
      <c r="AD32" s="166" t="s">
        <v>6</v>
      </c>
      <c r="AE32" s="166" t="s">
        <v>7</v>
      </c>
      <c r="AG32" s="166" t="s">
        <v>301</v>
      </c>
      <c r="AH32" s="166" t="s">
        <v>185</v>
      </c>
      <c r="AK32" s="582"/>
      <c r="AL32" s="288">
        <f t="shared" si="17"/>
        <v>7.7862462384201407</v>
      </c>
      <c r="AM32" s="289">
        <f t="shared" si="18"/>
        <v>5.5042268695633183</v>
      </c>
      <c r="AN32" s="289">
        <f t="shared" si="19"/>
        <v>3.1680400643665507E-2</v>
      </c>
      <c r="AO32" s="289">
        <f t="shared" si="20"/>
        <v>0.68423521945850041</v>
      </c>
      <c r="AP32" s="289">
        <f t="shared" si="21"/>
        <v>-7.3653595786399819</v>
      </c>
      <c r="AQ32" s="289">
        <f t="shared" si="22"/>
        <v>-11.859375893790052</v>
      </c>
      <c r="AR32" s="289">
        <f t="shared" si="23"/>
        <v>-21.112559102251019</v>
      </c>
      <c r="AS32" s="290">
        <f t="shared" si="24"/>
        <v>-29.770888638418</v>
      </c>
      <c r="AT32" s="10"/>
      <c r="AU32" s="10"/>
    </row>
    <row r="33" spans="2:48" x14ac:dyDescent="0.25">
      <c r="B33" s="261">
        <v>100</v>
      </c>
      <c r="C33" s="334">
        <v>136.37637263082664</v>
      </c>
      <c r="D33" s="263">
        <v>226.61626561362726</v>
      </c>
      <c r="E33" s="264">
        <v>100</v>
      </c>
      <c r="F33" s="265">
        <v>144.0622174235148</v>
      </c>
      <c r="G33" s="266">
        <v>223.80910623867783</v>
      </c>
      <c r="H33" s="267">
        <v>178.8043404006437</v>
      </c>
      <c r="I33" s="268">
        <v>68.927564067602773</v>
      </c>
      <c r="J33" s="262">
        <v>68.21629516768057</v>
      </c>
      <c r="K33" s="262">
        <v>64.271979729407704</v>
      </c>
      <c r="L33" s="262">
        <v>61.313290982321575</v>
      </c>
      <c r="M33" s="262">
        <v>55.439982883512606</v>
      </c>
      <c r="N33" s="262">
        <v>53.080385811070457</v>
      </c>
      <c r="O33" s="262">
        <v>45.140948624534865</v>
      </c>
      <c r="P33" s="263">
        <v>36.244202864254255</v>
      </c>
      <c r="Q33" s="269">
        <v>72.801471304200277</v>
      </c>
      <c r="R33" s="337">
        <v>62.458589543560059</v>
      </c>
      <c r="AC33" s="166">
        <v>10</v>
      </c>
      <c r="AD33" s="166">
        <f t="array" ref="AD33:AE33">LINEST(R32:R35,C32:C35)</f>
        <v>-1.5341895464373052E-3</v>
      </c>
      <c r="AE33" s="166">
        <v>63.008592756566493</v>
      </c>
      <c r="AG33" s="279">
        <f>AG9</f>
        <v>145.65364378431303</v>
      </c>
      <c r="AH33" s="130">
        <f>AD33*AG33+AE33</f>
        <v>62.785132458872098</v>
      </c>
      <c r="AK33" s="571" t="s">
        <v>221</v>
      </c>
      <c r="AL33" s="283">
        <f t="shared" si="17"/>
        <v>4.5679220848490871</v>
      </c>
      <c r="AM33" s="284">
        <f t="shared" si="18"/>
        <v>3.8338803992338626</v>
      </c>
      <c r="AN33" s="284">
        <f t="shared" si="19"/>
        <v>1.9591042438043687</v>
      </c>
      <c r="AO33" s="284">
        <f t="shared" si="20"/>
        <v>-1.0182809558993497</v>
      </c>
      <c r="AP33" s="284">
        <f t="shared" si="21"/>
        <v>-6.9174287891830915</v>
      </c>
      <c r="AQ33" s="284">
        <f t="shared" si="22"/>
        <v>-8.7632662460762702</v>
      </c>
      <c r="AR33" s="284">
        <f t="shared" si="23"/>
        <v>-18.255004777068528</v>
      </c>
      <c r="AS33" s="285">
        <f t="shared" si="24"/>
        <v>-28.150009308120985</v>
      </c>
      <c r="AT33" s="10"/>
      <c r="AU33" s="10"/>
    </row>
    <row r="34" spans="2:48" x14ac:dyDescent="0.25">
      <c r="B34" s="261">
        <v>100</v>
      </c>
      <c r="C34" s="334">
        <v>121.08623921696152</v>
      </c>
      <c r="D34" s="263">
        <v>344.96426720948057</v>
      </c>
      <c r="E34" s="264">
        <v>100</v>
      </c>
      <c r="F34" s="265">
        <v>129.5387346354868</v>
      </c>
      <c r="G34" s="266">
        <v>343.67251614768765</v>
      </c>
      <c r="H34" s="267">
        <v>179.05051154860692</v>
      </c>
      <c r="I34" s="268">
        <v>69.740432546400953</v>
      </c>
      <c r="J34" s="262">
        <v>69.103803718333353</v>
      </c>
      <c r="K34" s="262">
        <v>64.152812943639589</v>
      </c>
      <c r="L34" s="262">
        <v>61.846321812428997</v>
      </c>
      <c r="M34" s="262">
        <v>55.119947095957016</v>
      </c>
      <c r="N34" s="262">
        <v>52.023798316119922</v>
      </c>
      <c r="O34" s="262">
        <v>42.543331315209265</v>
      </c>
      <c r="P34" s="263">
        <v>33.121966438866494</v>
      </c>
      <c r="Q34" s="269">
        <v>73.461837959492101</v>
      </c>
      <c r="R34" s="337">
        <v>62.39310240853343</v>
      </c>
      <c r="AC34" s="166">
        <v>8</v>
      </c>
      <c r="AD34" s="166">
        <f t="array" ref="AD34:AE34">LINEST(R36:R39,C36:C39)</f>
        <v>-7.9340170125010864E-2</v>
      </c>
      <c r="AE34" s="166">
        <v>69.928234344355516</v>
      </c>
      <c r="AG34" s="279">
        <f>AG10</f>
        <v>123.49583115646229</v>
      </c>
      <c r="AH34" s="130">
        <f t="shared" ref="AH34:AH36" si="25">AD34*AG34+AE34</f>
        <v>60.130054090672182</v>
      </c>
      <c r="AK34" s="572"/>
      <c r="AL34" s="286">
        <f t="shared" si="17"/>
        <v>5.167196653655111</v>
      </c>
      <c r="AM34" s="130">
        <f t="shared" si="18"/>
        <v>6.7648356941374033</v>
      </c>
      <c r="AN34" s="130">
        <f t="shared" si="19"/>
        <v>2.4863644658036534</v>
      </c>
      <c r="AO34" s="130">
        <f t="shared" si="20"/>
        <v>-1.0203752010891307</v>
      </c>
      <c r="AP34" s="130">
        <f t="shared" si="21"/>
        <v>-7.3181667961376959</v>
      </c>
      <c r="AQ34" s="130">
        <f t="shared" si="22"/>
        <v>-9.4497669774851758</v>
      </c>
      <c r="AR34" s="130">
        <f t="shared" si="23"/>
        <v>-19.961770140799231</v>
      </c>
      <c r="AS34" s="287">
        <f t="shared" si="24"/>
        <v>-29.422553643136755</v>
      </c>
      <c r="AT34" s="10"/>
      <c r="AU34" s="10"/>
    </row>
    <row r="35" spans="2:48" x14ac:dyDescent="0.25">
      <c r="B35" s="270">
        <v>100</v>
      </c>
      <c r="C35" s="335">
        <v>105.31714134721213</v>
      </c>
      <c r="D35" s="272">
        <v>460.03002480329371</v>
      </c>
      <c r="E35" s="273">
        <v>100</v>
      </c>
      <c r="F35" s="274">
        <v>113.57469321284002</v>
      </c>
      <c r="G35" s="275">
        <v>461.52845081070541</v>
      </c>
      <c r="H35" s="276">
        <v>179.30439402430989</v>
      </c>
      <c r="I35" s="277">
        <v>71.027111508239997</v>
      </c>
      <c r="J35" s="271">
        <v>68.745092139383175</v>
      </c>
      <c r="K35" s="271">
        <v>63.272545670463522</v>
      </c>
      <c r="L35" s="271">
        <v>63.925100489278357</v>
      </c>
      <c r="M35" s="271">
        <v>55.875505691179875</v>
      </c>
      <c r="N35" s="271">
        <v>51.381489376029805</v>
      </c>
      <c r="O35" s="271">
        <v>42.128306167568837</v>
      </c>
      <c r="P35" s="272">
        <v>33.469976631401856</v>
      </c>
      <c r="Q35" s="278">
        <v>74.030320278454113</v>
      </c>
      <c r="R35" s="338">
        <v>63.240865269819857</v>
      </c>
      <c r="AC35" s="166">
        <v>6</v>
      </c>
      <c r="AD35" s="166">
        <f t="array" ref="AD35:AE35">LINEST(R40:R43,C40:C43)</f>
        <v>-6.0252306131470035E-2</v>
      </c>
      <c r="AE35" s="166">
        <v>62.326596113056446</v>
      </c>
      <c r="AG35" s="279">
        <f>AG11</f>
        <v>86.508692556320128</v>
      </c>
      <c r="AH35" s="130">
        <f t="shared" si="25"/>
        <v>57.11424788611982</v>
      </c>
      <c r="AK35" s="572"/>
      <c r="AL35" s="286">
        <f t="shared" si="17"/>
        <v>6.1371775930887935</v>
      </c>
      <c r="AM35" s="130">
        <f t="shared" si="18"/>
        <v>5.9258732513084027</v>
      </c>
      <c r="AN35" s="130">
        <f t="shared" si="19"/>
        <v>0.94358933769486697</v>
      </c>
      <c r="AO35" s="130">
        <f t="shared" si="20"/>
        <v>0.91144993238325611</v>
      </c>
      <c r="AP35" s="130">
        <f t="shared" si="21"/>
        <v>-8.2304335544807259</v>
      </c>
      <c r="AQ35" s="130">
        <f t="shared" si="22"/>
        <v>-11.036177885869783</v>
      </c>
      <c r="AR35" s="130">
        <f t="shared" si="23"/>
        <v>-22.099923320187465</v>
      </c>
      <c r="AS35" s="287">
        <f t="shared" si="24"/>
        <v>-31.399156764805582</v>
      </c>
      <c r="AT35" s="10"/>
      <c r="AU35" s="10"/>
    </row>
    <row r="36" spans="2:48" ht="14.25" thickBot="1" x14ac:dyDescent="0.3">
      <c r="B36" s="252">
        <v>80</v>
      </c>
      <c r="C36" s="333">
        <v>128.18424851276751</v>
      </c>
      <c r="D36" s="254">
        <v>73.263269036000509</v>
      </c>
      <c r="E36" s="255">
        <v>80</v>
      </c>
      <c r="F36" s="256">
        <v>133.37038564795932</v>
      </c>
      <c r="G36" s="257">
        <v>75.260817796757863</v>
      </c>
      <c r="H36" s="258">
        <v>120.82400105786881</v>
      </c>
      <c r="I36" s="259">
        <v>64.961475488420902</v>
      </c>
      <c r="J36" s="253">
        <v>64.227433802805677</v>
      </c>
      <c r="K36" s="253">
        <v>62.352657647376184</v>
      </c>
      <c r="L36" s="253">
        <v>59.375272447672465</v>
      </c>
      <c r="M36" s="253">
        <v>53.476124614388723</v>
      </c>
      <c r="N36" s="253">
        <v>51.630287157495545</v>
      </c>
      <c r="O36" s="253">
        <v>42.138548626503287</v>
      </c>
      <c r="P36" s="254">
        <v>32.243544095450829</v>
      </c>
      <c r="Q36" s="260">
        <v>69.42132316270731</v>
      </c>
      <c r="R36" s="336">
        <v>60.393553403571815</v>
      </c>
      <c r="AC36" s="166">
        <v>4</v>
      </c>
      <c r="AD36" s="166">
        <f t="array" ref="AD36:AE36">LINEST(R44:R47,C44:C47)</f>
        <v>-5.3418062768617727E-2</v>
      </c>
      <c r="AE36" s="166">
        <v>50.006703193442085</v>
      </c>
      <c r="AG36" s="279">
        <f>AG12</f>
        <v>52.069137848972048</v>
      </c>
      <c r="AH36" s="130">
        <f t="shared" si="25"/>
        <v>47.225270719517887</v>
      </c>
      <c r="AK36" s="582"/>
      <c r="AL36" s="288">
        <f t="shared" si="17"/>
        <v>2.7666830355511607</v>
      </c>
      <c r="AM36" s="289">
        <f t="shared" si="18"/>
        <v>2.1695388913497951</v>
      </c>
      <c r="AN36" s="289">
        <f t="shared" si="19"/>
        <v>-1.2721396063152639</v>
      </c>
      <c r="AO36" s="289">
        <f t="shared" si="20"/>
        <v>3.02265288551515</v>
      </c>
      <c r="AP36" s="289">
        <f t="shared" si="21"/>
        <v>-10.535366042716682</v>
      </c>
      <c r="AQ36" s="289">
        <f t="shared" si="22"/>
        <v>-14.417209350836899</v>
      </c>
      <c r="AR36" s="289">
        <f t="shared" si="23"/>
        <v>-25.030728029073714</v>
      </c>
      <c r="AS36" s="290">
        <f t="shared" si="24"/>
        <v>-34.349975109762326</v>
      </c>
      <c r="AT36" s="10"/>
      <c r="AU36" s="10"/>
    </row>
    <row r="37" spans="2:48" x14ac:dyDescent="0.25">
      <c r="B37" s="261">
        <v>80</v>
      </c>
      <c r="C37" s="334">
        <v>116.15075925701436</v>
      </c>
      <c r="D37" s="263">
        <v>164.85021384002255</v>
      </c>
      <c r="E37" s="264">
        <v>80</v>
      </c>
      <c r="F37" s="265">
        <v>122.89538289381215</v>
      </c>
      <c r="G37" s="266">
        <v>163.50216809882701</v>
      </c>
      <c r="H37" s="267">
        <v>121.53966307487315</v>
      </c>
      <c r="I37" s="268">
        <v>65.435401123379847</v>
      </c>
      <c r="J37" s="262">
        <v>67.03304016386214</v>
      </c>
      <c r="K37" s="262">
        <v>62.75456893552839</v>
      </c>
      <c r="L37" s="262">
        <v>59.247829268635606</v>
      </c>
      <c r="M37" s="262">
        <v>52.95003767358704</v>
      </c>
      <c r="N37" s="262">
        <v>50.818437492239561</v>
      </c>
      <c r="O37" s="262">
        <v>40.306434328925505</v>
      </c>
      <c r="P37" s="263">
        <v>30.845650826587981</v>
      </c>
      <c r="Q37" s="269">
        <v>70.645489336305459</v>
      </c>
      <c r="R37" s="337">
        <v>60.268204469724736</v>
      </c>
      <c r="AK37" s="571" t="s">
        <v>172</v>
      </c>
      <c r="AL37" s="283">
        <f t="shared" si="17"/>
        <v>2.8988874656072383</v>
      </c>
      <c r="AM37" s="284">
        <f t="shared" si="18"/>
        <v>1.4338421630128408</v>
      </c>
      <c r="AN37" s="284">
        <f t="shared" si="19"/>
        <v>-0.97627244725026685</v>
      </c>
      <c r="AO37" s="284">
        <f t="shared" si="20"/>
        <v>2.3317748120126822</v>
      </c>
      <c r="AP37" s="284">
        <f t="shared" si="21"/>
        <v>-8.8254611262697722</v>
      </c>
      <c r="AQ37" s="284">
        <f t="shared" si="22"/>
        <v>-10.087026318060765</v>
      </c>
      <c r="AR37" s="284">
        <f t="shared" si="23"/>
        <v>-22.093315015988004</v>
      </c>
      <c r="AS37" s="285">
        <f t="shared" si="24"/>
        <v>-32.215608338754762</v>
      </c>
      <c r="AT37" s="10"/>
      <c r="AU37" s="10"/>
    </row>
    <row r="38" spans="2:48" x14ac:dyDescent="0.25">
      <c r="B38" s="261">
        <v>80</v>
      </c>
      <c r="C38" s="334">
        <v>103.262888907129</v>
      </c>
      <c r="D38" s="263">
        <v>249.68371212846756</v>
      </c>
      <c r="E38" s="264">
        <v>80</v>
      </c>
      <c r="F38" s="265">
        <v>110.36840435560609</v>
      </c>
      <c r="G38" s="266">
        <v>251.66580059832327</v>
      </c>
      <c r="H38" s="267">
        <v>121.18199591434131</v>
      </c>
      <c r="I38" s="268">
        <v>66.945498402623556</v>
      </c>
      <c r="J38" s="262">
        <v>66.734194060843166</v>
      </c>
      <c r="K38" s="262">
        <v>61.75191014722963</v>
      </c>
      <c r="L38" s="262">
        <v>61.719770741918019</v>
      </c>
      <c r="M38" s="262">
        <v>52.577887255054037</v>
      </c>
      <c r="N38" s="262">
        <v>49.77214292366498</v>
      </c>
      <c r="O38" s="262">
        <v>38.708397489347298</v>
      </c>
      <c r="P38" s="263">
        <v>29.409164044729181</v>
      </c>
      <c r="Q38" s="269">
        <v>71.116213225748766</v>
      </c>
      <c r="R38" s="337">
        <v>60.808320809534763</v>
      </c>
      <c r="AC38" t="s">
        <v>317</v>
      </c>
      <c r="AK38" s="572"/>
      <c r="AL38" s="286">
        <f t="shared" si="17"/>
        <v>4.6914019749487252</v>
      </c>
      <c r="AM38" s="130">
        <f t="shared" si="18"/>
        <v>4.4674291642575881</v>
      </c>
      <c r="AN38" s="130">
        <f t="shared" si="19"/>
        <v>1.4174034586562101</v>
      </c>
      <c r="AO38" s="130">
        <f t="shared" si="20"/>
        <v>0.72506594535538227</v>
      </c>
      <c r="AP38" s="130">
        <f t="shared" si="21"/>
        <v>-8.1499911051378717</v>
      </c>
      <c r="AQ38" s="130">
        <f t="shared" si="22"/>
        <v>-10.194592973841594</v>
      </c>
      <c r="AR38" s="130">
        <f t="shared" si="23"/>
        <v>-21.182138836859878</v>
      </c>
      <c r="AS38" s="287">
        <f t="shared" si="24"/>
        <v>-29.222757328413827</v>
      </c>
      <c r="AT38" s="10"/>
      <c r="AU38" s="10"/>
    </row>
    <row r="39" spans="2:48" ht="14.25" x14ac:dyDescent="0.3">
      <c r="B39" s="270">
        <v>80</v>
      </c>
      <c r="C39" s="335">
        <v>89.53339232914351</v>
      </c>
      <c r="D39" s="272">
        <v>329.93691983355029</v>
      </c>
      <c r="E39" s="273">
        <v>80</v>
      </c>
      <c r="F39" s="274">
        <v>96.281440577966649</v>
      </c>
      <c r="G39" s="275">
        <v>337.01429220327896</v>
      </c>
      <c r="H39" s="276">
        <v>119.52192107942432</v>
      </c>
      <c r="I39" s="277">
        <v>66.327470893436242</v>
      </c>
      <c r="J39" s="271">
        <v>65.730326749234877</v>
      </c>
      <c r="K39" s="271">
        <v>62.288648251569818</v>
      </c>
      <c r="L39" s="271">
        <v>66.583440743400232</v>
      </c>
      <c r="M39" s="271">
        <v>53.0254218151684</v>
      </c>
      <c r="N39" s="271">
        <v>49.143578507048183</v>
      </c>
      <c r="O39" s="271">
        <v>38.530059828811368</v>
      </c>
      <c r="P39" s="272">
        <v>29.210812748122756</v>
      </c>
      <c r="Q39" s="278">
        <v>71.635284325624369</v>
      </c>
      <c r="R39" s="338">
        <v>63.560787857885082</v>
      </c>
      <c r="AC39" s="121" t="s">
        <v>318</v>
      </c>
      <c r="AG39" s="121" t="s">
        <v>487</v>
      </c>
      <c r="AK39" s="572"/>
      <c r="AL39" s="286">
        <f t="shared" si="17"/>
        <v>2.7142960812052976</v>
      </c>
      <c r="AM39" s="130">
        <f t="shared" si="18"/>
        <v>3.2536253371936397</v>
      </c>
      <c r="AN39" s="130">
        <f t="shared" si="19"/>
        <v>2.4619587806526368</v>
      </c>
      <c r="AO39" s="130">
        <f t="shared" si="20"/>
        <v>0.96544275490656162</v>
      </c>
      <c r="AP39" s="130">
        <f t="shared" si="21"/>
        <v>-9.6321609484418573</v>
      </c>
      <c r="AQ39" s="130">
        <f t="shared" si="22"/>
        <v>-12.024236436334952</v>
      </c>
      <c r="AR39" s="130">
        <f t="shared" si="23"/>
        <v>-23.430076878614962</v>
      </c>
      <c r="AS39" s="287">
        <f t="shared" si="24"/>
        <v>-31.69785544281547</v>
      </c>
      <c r="AT39" s="10"/>
      <c r="AU39" s="10"/>
    </row>
    <row r="40" spans="2:48" ht="16.5" thickBot="1" x14ac:dyDescent="0.35">
      <c r="B40" s="252">
        <v>60</v>
      </c>
      <c r="C40" s="333">
        <v>89.083668744316583</v>
      </c>
      <c r="D40" s="254">
        <v>37.697502335033079</v>
      </c>
      <c r="E40" s="255">
        <v>60</v>
      </c>
      <c r="F40" s="256">
        <v>96.242813894546174</v>
      </c>
      <c r="G40" s="257">
        <v>40.597467152180812</v>
      </c>
      <c r="H40" s="258">
        <v>58.458238393378579</v>
      </c>
      <c r="I40" s="259">
        <v>60.578702188809849</v>
      </c>
      <c r="J40" s="253">
        <v>59.113656886215452</v>
      </c>
      <c r="K40" s="253">
        <v>56.703542275952344</v>
      </c>
      <c r="L40" s="253">
        <v>60.011589535215293</v>
      </c>
      <c r="M40" s="253">
        <v>48.854353596932839</v>
      </c>
      <c r="N40" s="253">
        <v>47.592788405141846</v>
      </c>
      <c r="O40" s="253">
        <v>35.586499707214607</v>
      </c>
      <c r="P40" s="254">
        <v>25.464206384447849</v>
      </c>
      <c r="Q40" s="260">
        <v>65.522969524405653</v>
      </c>
      <c r="R40" s="336">
        <v>57.679814723202611</v>
      </c>
      <c r="AC40" s="121" t="s">
        <v>319</v>
      </c>
      <c r="AF40" s="5"/>
      <c r="AG40" s="121" t="s">
        <v>319</v>
      </c>
      <c r="AK40" s="572"/>
      <c r="AL40" s="288">
        <f t="shared" si="17"/>
        <v>1.5015502267528404</v>
      </c>
      <c r="AM40" s="289">
        <f t="shared" si="18"/>
        <v>1.8236803629638203</v>
      </c>
      <c r="AN40" s="289">
        <f t="shared" si="19"/>
        <v>2.9020930618229244</v>
      </c>
      <c r="AO40" s="289">
        <f t="shared" si="20"/>
        <v>1.2431000021135645</v>
      </c>
      <c r="AP40" s="289">
        <f t="shared" si="21"/>
        <v>-10.476165005025848</v>
      </c>
      <c r="AQ40" s="289">
        <f t="shared" si="22"/>
        <v>-15.292683877192786</v>
      </c>
      <c r="AR40" s="289">
        <f t="shared" si="23"/>
        <v>-26.352934417074707</v>
      </c>
      <c r="AS40" s="290">
        <f t="shared" si="24"/>
        <v>-33.148508897828194</v>
      </c>
      <c r="AT40" s="10"/>
      <c r="AU40" s="10"/>
    </row>
    <row r="41" spans="2:48" x14ac:dyDescent="0.25">
      <c r="B41" s="261">
        <v>60</v>
      </c>
      <c r="C41" s="334">
        <v>81.635487491799807</v>
      </c>
      <c r="D41" s="263">
        <v>84.867217742327568</v>
      </c>
      <c r="E41" s="264">
        <v>60</v>
      </c>
      <c r="F41" s="265">
        <v>89.636625494315311</v>
      </c>
      <c r="G41" s="266">
        <v>88.753181543165368</v>
      </c>
      <c r="H41" s="267">
        <v>58.684019859612121</v>
      </c>
      <c r="I41" s="268">
        <v>61.247003084520905</v>
      </c>
      <c r="J41" s="262">
        <v>61.023030273829768</v>
      </c>
      <c r="K41" s="262">
        <v>57.97300456822839</v>
      </c>
      <c r="L41" s="262">
        <v>57.280667054927562</v>
      </c>
      <c r="M41" s="262">
        <v>48.405610004434308</v>
      </c>
      <c r="N41" s="262">
        <v>46.361008135730586</v>
      </c>
      <c r="O41" s="262">
        <v>35.373462272712302</v>
      </c>
      <c r="P41" s="263">
        <v>27.332843781158353</v>
      </c>
      <c r="Q41" s="269">
        <v>65.884326124883344</v>
      </c>
      <c r="R41" s="337">
        <v>56.55560110957218</v>
      </c>
      <c r="AC41" s="166" t="s">
        <v>6</v>
      </c>
      <c r="AD41" s="166" t="s">
        <v>7</v>
      </c>
      <c r="AG41" s="166" t="s">
        <v>6</v>
      </c>
      <c r="AH41" s="166" t="s">
        <v>7</v>
      </c>
      <c r="AI41" s="166" t="s">
        <v>8</v>
      </c>
      <c r="AK41" s="573" t="s">
        <v>171</v>
      </c>
      <c r="AL41" s="291">
        <f t="shared" si="17"/>
        <v>6.9595605523324409</v>
      </c>
      <c r="AM41" s="284">
        <f t="shared" si="18"/>
        <v>5.4174496839966721</v>
      </c>
      <c r="AN41" s="284">
        <f t="shared" si="19"/>
        <v>1.8244000258698279</v>
      </c>
      <c r="AO41" s="284">
        <f t="shared" si="20"/>
        <v>-4.1553767989244363</v>
      </c>
      <c r="AP41" s="284">
        <f t="shared" si="21"/>
        <v>-3.4722725207009049</v>
      </c>
      <c r="AQ41" s="284">
        <f t="shared" si="22"/>
        <v>-12.688631033602896</v>
      </c>
      <c r="AR41" s="284">
        <f t="shared" si="23"/>
        <v>-25.890934671494701</v>
      </c>
      <c r="AS41" s="285">
        <f t="shared" si="24"/>
        <v>-25.550093606751748</v>
      </c>
      <c r="AT41" s="10"/>
      <c r="AU41" s="10"/>
    </row>
    <row r="42" spans="2:48" x14ac:dyDescent="0.25">
      <c r="B42" s="261">
        <v>60</v>
      </c>
      <c r="C42" s="334">
        <v>73.240485179787271</v>
      </c>
      <c r="D42" s="263">
        <v>130.14186941970618</v>
      </c>
      <c r="E42" s="264">
        <v>60</v>
      </c>
      <c r="F42" s="265">
        <v>80.894602049496072</v>
      </c>
      <c r="G42" s="266">
        <v>137.78007451276184</v>
      </c>
      <c r="H42" s="267">
        <v>58.566092940752966</v>
      </c>
      <c r="I42" s="268">
        <v>60.290734133781179</v>
      </c>
      <c r="J42" s="262">
        <v>60.830063389769521</v>
      </c>
      <c r="K42" s="262">
        <v>60.038396833228518</v>
      </c>
      <c r="L42" s="262">
        <v>58.541880807482443</v>
      </c>
      <c r="M42" s="262">
        <v>47.944277104134024</v>
      </c>
      <c r="N42" s="262">
        <v>45.552201616240929</v>
      </c>
      <c r="O42" s="262">
        <v>34.146361173960919</v>
      </c>
      <c r="P42" s="263">
        <v>25.878582609760411</v>
      </c>
      <c r="Q42" s="269">
        <v>66.132840115713378</v>
      </c>
      <c r="R42" s="337">
        <v>57.576438052575881</v>
      </c>
      <c r="AC42" s="280">
        <f t="array" ref="AC42:AD42">LINEST(AH33:AH36,LN(AG33:AG36))</f>
        <v>14.730897831243066</v>
      </c>
      <c r="AD42" s="280">
        <v>-10.249679640765748</v>
      </c>
      <c r="AG42" s="280">
        <f t="array" ref="AG42:AI42">LINEST(AH33:AH36,AG33:AG36^{1,2})</f>
        <v>-1.6085633430453529E-3</v>
      </c>
      <c r="AH42" s="280">
        <v>0.47522247109366211</v>
      </c>
      <c r="AI42" s="280">
        <v>27.137737065565375</v>
      </c>
      <c r="AK42" s="574"/>
      <c r="AL42" s="292">
        <f t="shared" si="17"/>
        <v>9.3474977070681291</v>
      </c>
      <c r="AM42" s="130">
        <f t="shared" si="18"/>
        <v>11.450753220915871</v>
      </c>
      <c r="AN42" s="130">
        <f t="shared" si="19"/>
        <v>1.9980949550383116</v>
      </c>
      <c r="AO42" s="130">
        <f t="shared" si="20"/>
        <v>-5.0891432711893145</v>
      </c>
      <c r="AP42" s="130">
        <f t="shared" si="21"/>
        <v>-4.461140968390275</v>
      </c>
      <c r="AQ42" s="130">
        <f t="shared" si="22"/>
        <v>-14.631421106439824</v>
      </c>
      <c r="AR42" s="130">
        <f t="shared" si="23"/>
        <v>-21.309918003745857</v>
      </c>
      <c r="AS42" s="287">
        <f t="shared" si="24"/>
        <v>-22.596461524805665</v>
      </c>
      <c r="AT42" s="10"/>
      <c r="AU42" s="10"/>
    </row>
    <row r="43" spans="2:48" x14ac:dyDescent="0.25">
      <c r="B43" s="270">
        <v>60</v>
      </c>
      <c r="C43" s="335">
        <v>64.145790177209165</v>
      </c>
      <c r="D43" s="272">
        <v>173.11183005338415</v>
      </c>
      <c r="E43" s="273">
        <v>60</v>
      </c>
      <c r="F43" s="274">
        <v>71.049423749605182</v>
      </c>
      <c r="G43" s="275">
        <v>182.90420409835829</v>
      </c>
      <c r="H43" s="276">
        <v>57.992959549452621</v>
      </c>
      <c r="I43" s="277">
        <v>60.432018008511022</v>
      </c>
      <c r="J43" s="271">
        <v>60.754148144722002</v>
      </c>
      <c r="K43" s="271">
        <v>61.832560843581106</v>
      </c>
      <c r="L43" s="271">
        <v>60.173567783871746</v>
      </c>
      <c r="M43" s="271">
        <v>48.454302776732334</v>
      </c>
      <c r="N43" s="271">
        <v>43.637783904565396</v>
      </c>
      <c r="O43" s="271">
        <v>32.577533364683475</v>
      </c>
      <c r="P43" s="272">
        <v>25.781958883929988</v>
      </c>
      <c r="Q43" s="278">
        <v>66.950706171636497</v>
      </c>
      <c r="R43" s="338">
        <v>58.930467781758182</v>
      </c>
      <c r="AF43" s="281"/>
      <c r="AK43" s="574"/>
      <c r="AL43" s="292">
        <f t="shared" si="17"/>
        <v>8.5937639626863955</v>
      </c>
      <c r="AM43" s="130">
        <f t="shared" si="18"/>
        <v>7.4086580708100485</v>
      </c>
      <c r="AN43" s="130">
        <f t="shared" si="19"/>
        <v>4.2746263921568328</v>
      </c>
      <c r="AO43" s="130">
        <f t="shared" si="20"/>
        <v>-4.0955276594391137</v>
      </c>
      <c r="AP43" s="130">
        <f t="shared" si="21"/>
        <v>-4.6493434822382014</v>
      </c>
      <c r="AQ43" s="130">
        <f t="shared" si="22"/>
        <v>-15.018673287374334</v>
      </c>
      <c r="AR43" s="130">
        <f t="shared" si="23"/>
        <v>-20.907003741415334</v>
      </c>
      <c r="AS43" s="287">
        <f t="shared" si="24"/>
        <v>-22.053759487710639</v>
      </c>
      <c r="AT43" s="10"/>
      <c r="AU43" s="10"/>
    </row>
    <row r="44" spans="2:48" ht="14.25" thickBot="1" x14ac:dyDescent="0.3">
      <c r="B44" s="252">
        <v>40</v>
      </c>
      <c r="C44" s="333">
        <v>53.45618779061126</v>
      </c>
      <c r="D44" s="254">
        <v>13.667846836916983</v>
      </c>
      <c r="E44" s="255">
        <v>40</v>
      </c>
      <c r="F44" s="256">
        <v>61.081609586861354</v>
      </c>
      <c r="G44" s="257">
        <v>17.151838067693202</v>
      </c>
      <c r="H44" s="258">
        <v>26.532368849696439</v>
      </c>
      <c r="I44" s="259">
        <v>53.847365434214439</v>
      </c>
      <c r="J44" s="253">
        <v>52.30525456587867</v>
      </c>
      <c r="K44" s="253">
        <v>48.712204907751826</v>
      </c>
      <c r="L44" s="253">
        <v>42.732428082957561</v>
      </c>
      <c r="M44" s="253">
        <v>43.415532361181093</v>
      </c>
      <c r="N44" s="253">
        <v>34.199173848279102</v>
      </c>
      <c r="O44" s="253">
        <v>20.996870210387296</v>
      </c>
      <c r="P44" s="254">
        <v>21.33771127513025</v>
      </c>
      <c r="Q44" s="260">
        <v>57.246784543304301</v>
      </c>
      <c r="R44" s="336">
        <v>46.887804881881998</v>
      </c>
      <c r="AC44" t="s">
        <v>323</v>
      </c>
      <c r="AK44" s="575"/>
      <c r="AL44" s="293">
        <f t="shared" si="17"/>
        <v>5.3387636236530085</v>
      </c>
      <c r="AM44" s="167">
        <f t="shared" si="18"/>
        <v>6.6372444496297405</v>
      </c>
      <c r="AN44" s="167">
        <f t="shared" si="19"/>
        <v>5.1685424745712325</v>
      </c>
      <c r="AO44" s="167">
        <f t="shared" si="20"/>
        <v>-3.7507601090109262</v>
      </c>
      <c r="AP44" s="167">
        <f t="shared" si="21"/>
        <v>-4.8149244608142254</v>
      </c>
      <c r="AQ44" s="167">
        <f t="shared" si="22"/>
        <v>-16.238463910453994</v>
      </c>
      <c r="AR44" s="167">
        <f t="shared" si="23"/>
        <v>-21.609813456382309</v>
      </c>
      <c r="AS44" s="294">
        <f t="shared" si="24"/>
        <v>-22.59442045106659</v>
      </c>
      <c r="AT44" s="10"/>
      <c r="AU44" s="10"/>
    </row>
    <row r="45" spans="2:48" ht="14.25" thickTop="1" x14ac:dyDescent="0.25">
      <c r="B45" s="261">
        <v>40</v>
      </c>
      <c r="C45" s="334">
        <v>49.393908312321557</v>
      </c>
      <c r="D45" s="263">
        <v>31.542598956990631</v>
      </c>
      <c r="E45" s="264">
        <v>40</v>
      </c>
      <c r="F45" s="265">
        <v>57.573292666284338</v>
      </c>
      <c r="G45" s="266">
        <v>36.079448964061996</v>
      </c>
      <c r="H45" s="267">
        <v>26.234075745685022</v>
      </c>
      <c r="I45" s="268">
        <v>57.246171321623777</v>
      </c>
      <c r="J45" s="262">
        <v>59.349426835471519</v>
      </c>
      <c r="K45" s="262">
        <v>49.896768569593959</v>
      </c>
      <c r="L45" s="262">
        <v>42.809530343366333</v>
      </c>
      <c r="M45" s="262">
        <v>43.437532646165373</v>
      </c>
      <c r="N45" s="262">
        <v>33.267252508115824</v>
      </c>
      <c r="O45" s="262">
        <v>26.588755610809791</v>
      </c>
      <c r="P45" s="263">
        <v>25.302212089749982</v>
      </c>
      <c r="Q45" s="269">
        <v>61.855502555120808</v>
      </c>
      <c r="R45" s="337">
        <v>47.898673614555648</v>
      </c>
      <c r="AC45" s="116">
        <f>AC21</f>
        <v>84</v>
      </c>
      <c r="AD45" t="s">
        <v>223</v>
      </c>
      <c r="AE45" s="159" t="s">
        <v>321</v>
      </c>
      <c r="AF45" s="119" t="s">
        <v>185</v>
      </c>
      <c r="AG45" s="282">
        <f>AVERAGE(AD48:AD49)</f>
        <v>55.363315810427771</v>
      </c>
      <c r="AH45" s="6" t="s">
        <v>189</v>
      </c>
      <c r="AI45" t="s">
        <v>181</v>
      </c>
      <c r="AK45" s="295">
        <v>10</v>
      </c>
      <c r="AL45" s="296">
        <f>ROUND(AVERAGE(AL29:AL32),0)</f>
        <v>7</v>
      </c>
      <c r="AM45" s="296">
        <f t="shared" ref="AM45:AS45" si="26">ROUND(AVERAGE(AM29:AM32),0)</f>
        <v>5</v>
      </c>
      <c r="AN45" s="296">
        <f t="shared" si="26"/>
        <v>1</v>
      </c>
      <c r="AO45" s="296">
        <f t="shared" si="26"/>
        <v>0</v>
      </c>
      <c r="AP45" s="296">
        <f t="shared" si="26"/>
        <v>-7</v>
      </c>
      <c r="AQ45" s="296">
        <f t="shared" si="26"/>
        <v>-10</v>
      </c>
      <c r="AR45" s="296">
        <f t="shared" si="26"/>
        <v>-18</v>
      </c>
      <c r="AS45" s="296">
        <f t="shared" si="26"/>
        <v>-27</v>
      </c>
      <c r="AT45" s="3">
        <f t="array" ref="AT45">10*LOG10(SUM(10^((AL45:AS45+$AL$128:$AS$128)/10)))</f>
        <v>0.39378769866258467</v>
      </c>
      <c r="AU45" s="10" t="str">
        <f>IF(ABS(AT45)&lt;0.5,"OK","TARKASTA")</f>
        <v>OK</v>
      </c>
    </row>
    <row r="46" spans="2:48" x14ac:dyDescent="0.25">
      <c r="B46" s="261">
        <v>40</v>
      </c>
      <c r="C46" s="334">
        <v>44.571180207634491</v>
      </c>
      <c r="D46" s="263">
        <v>49.518175961573718</v>
      </c>
      <c r="E46" s="264">
        <v>40</v>
      </c>
      <c r="F46" s="265">
        <v>52.3544093296032</v>
      </c>
      <c r="G46" s="266">
        <v>55.86520132426476</v>
      </c>
      <c r="H46" s="267">
        <v>25.871372918497357</v>
      </c>
      <c r="I46" s="268">
        <v>55.910230594834218</v>
      </c>
      <c r="J46" s="262">
        <v>54.725124702957871</v>
      </c>
      <c r="K46" s="262">
        <v>51.591093024304655</v>
      </c>
      <c r="L46" s="262">
        <v>43.220938972708709</v>
      </c>
      <c r="M46" s="262">
        <v>42.667123149909621</v>
      </c>
      <c r="N46" s="262">
        <v>32.297793344773488</v>
      </c>
      <c r="O46" s="262">
        <v>26.409462890732488</v>
      </c>
      <c r="P46" s="263">
        <v>25.262707144437183</v>
      </c>
      <c r="Q46" s="269">
        <v>59.410087204626478</v>
      </c>
      <c r="R46" s="337">
        <v>47.316466632147822</v>
      </c>
      <c r="AK46" s="299">
        <v>8</v>
      </c>
      <c r="AL46" s="300">
        <f>ROUND(AVERAGE(AL33:AL36),0)</f>
        <v>5</v>
      </c>
      <c r="AM46" s="300">
        <f t="shared" ref="AM46:AS46" si="27">ROUND(AVERAGE(AM33:AM36),0)</f>
        <v>5</v>
      </c>
      <c r="AN46" s="300">
        <f t="shared" si="27"/>
        <v>1</v>
      </c>
      <c r="AO46" s="300">
        <f t="shared" si="27"/>
        <v>0</v>
      </c>
      <c r="AP46" s="300">
        <f t="shared" si="27"/>
        <v>-8</v>
      </c>
      <c r="AQ46" s="300">
        <f t="shared" si="27"/>
        <v>-11</v>
      </c>
      <c r="AR46" s="300">
        <f t="shared" si="27"/>
        <v>-21</v>
      </c>
      <c r="AS46" s="300">
        <f t="shared" si="27"/>
        <v>-31</v>
      </c>
      <c r="AT46" s="3">
        <f t="array" ref="AT46">10*LOG10(SUM(10^((AL46:AS46+$AL$128:$AS$128)/10)))</f>
        <v>4.9398808964683627E-2</v>
      </c>
      <c r="AU46" s="10" t="str">
        <f t="shared" ref="AU46:AU48" si="28">IF(ABS(AT46)&lt;0.5,"OK","TARKASTA")</f>
        <v>OK</v>
      </c>
    </row>
    <row r="47" spans="2:48" x14ac:dyDescent="0.25">
      <c r="B47" s="270">
        <v>40</v>
      </c>
      <c r="C47" s="335">
        <v>39.396985201335021</v>
      </c>
      <c r="D47" s="272">
        <v>66.314893351683125</v>
      </c>
      <c r="E47" s="273">
        <v>40</v>
      </c>
      <c r="F47" s="274">
        <v>45.734921927659116</v>
      </c>
      <c r="G47" s="275">
        <v>75.157192747861757</v>
      </c>
      <c r="H47" s="276">
        <v>25.471892120334651</v>
      </c>
      <c r="I47" s="277">
        <v>53.283161649069029</v>
      </c>
      <c r="J47" s="271">
        <v>54.581642475045761</v>
      </c>
      <c r="K47" s="271">
        <v>53.112940499987253</v>
      </c>
      <c r="L47" s="271">
        <v>44.193637916405095</v>
      </c>
      <c r="M47" s="271">
        <v>43.129473564601795</v>
      </c>
      <c r="N47" s="271">
        <v>31.705934114962027</v>
      </c>
      <c r="O47" s="271">
        <v>26.334584569033712</v>
      </c>
      <c r="P47" s="272">
        <v>25.349977574349431</v>
      </c>
      <c r="Q47" s="278">
        <v>58.773788835330301</v>
      </c>
      <c r="R47" s="338">
        <v>47.944398025416021</v>
      </c>
      <c r="AC47" s="6" t="s">
        <v>185</v>
      </c>
      <c r="AK47" s="299">
        <v>6</v>
      </c>
      <c r="AL47" s="300">
        <f>ROUND(AVERAGE(AL37:AL40),0)</f>
        <v>3</v>
      </c>
      <c r="AM47" s="300">
        <f t="shared" ref="AM47:AS47" si="29">ROUND(AVERAGE(AM37:AM40),0)</f>
        <v>3</v>
      </c>
      <c r="AN47" s="300">
        <f t="shared" si="29"/>
        <v>1</v>
      </c>
      <c r="AO47" s="300">
        <f t="shared" si="29"/>
        <v>1</v>
      </c>
      <c r="AP47" s="300">
        <f t="shared" si="29"/>
        <v>-9</v>
      </c>
      <c r="AQ47" s="300">
        <f t="shared" si="29"/>
        <v>-12</v>
      </c>
      <c r="AR47" s="300">
        <f t="shared" si="29"/>
        <v>-23</v>
      </c>
      <c r="AS47" s="300">
        <f t="shared" si="29"/>
        <v>-32</v>
      </c>
      <c r="AT47" s="3">
        <f t="array" ref="AT47">10*LOG10(SUM(10^((AL47:AS47+$AL$128:$AS$128)/10)))</f>
        <v>0.19520109707964914</v>
      </c>
      <c r="AU47" s="10" t="str">
        <f t="shared" si="28"/>
        <v>OK</v>
      </c>
    </row>
    <row r="48" spans="2:48" ht="14.25" thickBot="1" x14ac:dyDescent="0.3">
      <c r="AC48" t="s">
        <v>488</v>
      </c>
      <c r="AD48" s="558">
        <f>AC42*LN(AC45)+AD42</f>
        <v>55.020229931950567</v>
      </c>
      <c r="AE48" t="s">
        <v>189</v>
      </c>
      <c r="AK48" s="303">
        <v>4</v>
      </c>
      <c r="AL48" s="304">
        <f>ROUND(AVERAGE(AL41:AL44),0)</f>
        <v>8</v>
      </c>
      <c r="AM48" s="304">
        <f t="shared" ref="AM48:AR48" si="30">ROUND(AVERAGE(AM41:AM44),0)</f>
        <v>8</v>
      </c>
      <c r="AN48" s="304">
        <f t="shared" si="30"/>
        <v>3</v>
      </c>
      <c r="AO48" s="304">
        <f t="shared" si="30"/>
        <v>-4</v>
      </c>
      <c r="AP48" s="304">
        <f t="shared" si="30"/>
        <v>-4</v>
      </c>
      <c r="AQ48" s="304">
        <f t="shared" si="30"/>
        <v>-15</v>
      </c>
      <c r="AR48" s="304">
        <f t="shared" si="30"/>
        <v>-22</v>
      </c>
      <c r="AS48" s="556">
        <v>-32</v>
      </c>
      <c r="AT48" s="3">
        <f t="array" ref="AT48">10*LOG10(SUM(10^((AL48:AS48+$AL$128:$AS$128)/10)))</f>
        <v>0.35114765127612402</v>
      </c>
      <c r="AU48" s="10" t="str">
        <f t="shared" si="28"/>
        <v>OK</v>
      </c>
      <c r="AV48" s="485" t="s">
        <v>486</v>
      </c>
    </row>
    <row r="49" spans="2:47" x14ac:dyDescent="0.25">
      <c r="AC49" t="s">
        <v>489</v>
      </c>
      <c r="AD49" s="558">
        <f>AG42*AC45^2+AH42*AC45+AI42</f>
        <v>55.706401688904975</v>
      </c>
      <c r="AE49" t="s">
        <v>189</v>
      </c>
      <c r="AK49" s="310" t="s">
        <v>184</v>
      </c>
      <c r="AL49" s="311" cm="1">
        <f t="array" ref="AL49">INDEX(AL45:AL48,$AW$25)</f>
        <v>3</v>
      </c>
      <c r="AM49" s="311" cm="1">
        <f t="array" ref="AM49">INDEX(AM45:AM48,$AW$25)</f>
        <v>3</v>
      </c>
      <c r="AN49" s="311" cm="1">
        <f t="array" ref="AN49">INDEX(AN45:AN48,$AW$25)</f>
        <v>1</v>
      </c>
      <c r="AO49" s="311" cm="1">
        <f t="array" ref="AO49">INDEX(AO45:AO48,$AW$25)</f>
        <v>1</v>
      </c>
      <c r="AP49" s="311" cm="1">
        <f t="array" ref="AP49">INDEX(AP45:AP48,$AW$25)</f>
        <v>-9</v>
      </c>
      <c r="AQ49" s="311" cm="1">
        <f t="array" ref="AQ49">INDEX(AQ45:AQ48,$AW$25)</f>
        <v>-12</v>
      </c>
      <c r="AR49" s="311" cm="1">
        <f t="array" ref="AR49">INDEX(AR45:AR48,$AW$25)</f>
        <v>-23</v>
      </c>
      <c r="AS49" s="311" cm="1">
        <f t="array" ref="AS49">INDEX(AS45:AS48,$AW$25)</f>
        <v>-32</v>
      </c>
      <c r="AT49" s="166" t="s">
        <v>188</v>
      </c>
      <c r="AU49" s="130" t="s">
        <v>331</v>
      </c>
    </row>
    <row r="50" spans="2:47" x14ac:dyDescent="0.25">
      <c r="AK50" s="158" t="s">
        <v>329</v>
      </c>
      <c r="AL50" s="307">
        <f>$AG$45+AL49</f>
        <v>58.363315810427771</v>
      </c>
      <c r="AM50" s="307">
        <f t="shared" ref="AM50:AS50" si="31">$AG$45+AM49</f>
        <v>58.363315810427771</v>
      </c>
      <c r="AN50" s="307">
        <f t="shared" si="31"/>
        <v>56.363315810427771</v>
      </c>
      <c r="AO50" s="307">
        <f t="shared" si="31"/>
        <v>56.363315810427771</v>
      </c>
      <c r="AP50" s="307">
        <f t="shared" si="31"/>
        <v>46.363315810427771</v>
      </c>
      <c r="AQ50" s="307">
        <f t="shared" si="31"/>
        <v>43.363315810427771</v>
      </c>
      <c r="AR50" s="307">
        <f t="shared" si="31"/>
        <v>32.363315810427771</v>
      </c>
      <c r="AS50" s="307">
        <f t="shared" si="31"/>
        <v>23.363315810427771</v>
      </c>
      <c r="AT50" s="309">
        <f t="array" ref="AT50">10*LOG10(SUM(10^(AL50:AS50/10)))</f>
        <v>63.62601225390128</v>
      </c>
      <c r="AU50" s="309">
        <f t="array" ref="AU50">10*LOG10(SUM(10^((AL50:AS50+$AL$128:$AS$128)/10)))</f>
        <v>55.558516907507425</v>
      </c>
    </row>
    <row r="52" spans="2:47" ht="14.25" thickBot="1" x14ac:dyDescent="0.3">
      <c r="B52" s="6" t="s">
        <v>311</v>
      </c>
      <c r="AL52" s="24" t="str">
        <f t="shared" ref="AL52:AS52" si="32">I54</f>
        <v>63 Hz</v>
      </c>
      <c r="AM52" s="24" t="str">
        <f t="shared" si="32"/>
        <v>125 Hz</v>
      </c>
      <c r="AN52" s="24" t="str">
        <f t="shared" si="32"/>
        <v>250 Hz</v>
      </c>
      <c r="AO52" s="24" t="str">
        <f t="shared" si="32"/>
        <v>500 Hz</v>
      </c>
      <c r="AP52" s="24" t="str">
        <f t="shared" si="32"/>
        <v>1 kHz</v>
      </c>
      <c r="AQ52" s="24" t="str">
        <f t="shared" si="32"/>
        <v>2 kHz</v>
      </c>
      <c r="AR52" s="24" t="str">
        <f t="shared" si="32"/>
        <v>4 kHz</v>
      </c>
      <c r="AS52" s="24" t="str">
        <f t="shared" si="32"/>
        <v>8 kHz</v>
      </c>
    </row>
    <row r="53" spans="2:47" ht="15.75" x14ac:dyDescent="0.3">
      <c r="B53" s="605" t="s">
        <v>0</v>
      </c>
      <c r="C53" s="606"/>
      <c r="D53" s="607"/>
      <c r="E53" s="587" t="s">
        <v>2</v>
      </c>
      <c r="F53" s="588"/>
      <c r="G53" s="589"/>
      <c r="H53" s="576" t="s">
        <v>174</v>
      </c>
      <c r="I53" s="587" t="s">
        <v>175</v>
      </c>
      <c r="J53" s="588"/>
      <c r="K53" s="588"/>
      <c r="L53" s="588"/>
      <c r="M53" s="588"/>
      <c r="N53" s="588"/>
      <c r="O53" s="588"/>
      <c r="P53" s="589"/>
      <c r="Q53" s="591" t="s">
        <v>176</v>
      </c>
      <c r="R53" s="576" t="s">
        <v>177</v>
      </c>
      <c r="AC53" t="s">
        <v>313</v>
      </c>
      <c r="AK53" s="571" t="s">
        <v>173</v>
      </c>
      <c r="AL53" s="283">
        <f t="shared" ref="AL53:AL68" si="33">I56-$R56</f>
        <v>7.5802088486035331</v>
      </c>
      <c r="AM53" s="284">
        <f t="shared" ref="AM53:AM68" si="34">J56-$R56</f>
        <v>4.4399973437851372</v>
      </c>
      <c r="AN53" s="284">
        <f t="shared" ref="AN53:AN68" si="35">K56-$R56</f>
        <v>0.31907750769337895</v>
      </c>
      <c r="AO53" s="284">
        <f t="shared" ref="AO53:AO68" si="36">L56-$R56</f>
        <v>-9.1324476798675391E-2</v>
      </c>
      <c r="AP53" s="284">
        <f t="shared" ref="AP53:AP68" si="37">M56-$R56</f>
        <v>-5.2218622674860171</v>
      </c>
      <c r="AQ53" s="284">
        <f t="shared" ref="AQ53:AQ68" si="38">N56-$R56</f>
        <v>-12.791128620211708</v>
      </c>
      <c r="AR53" s="284">
        <f t="shared" ref="AR53:AR68" si="39">O56-$R56</f>
        <v>-21.85500180441759</v>
      </c>
      <c r="AS53" s="285">
        <f t="shared" ref="AS53:AS68" si="40">P56-$R56</f>
        <v>-31.766620272400857</v>
      </c>
    </row>
    <row r="54" spans="2:47" ht="14.25" x14ac:dyDescent="0.3">
      <c r="B54" s="599" t="s">
        <v>305</v>
      </c>
      <c r="C54" s="601" t="s">
        <v>306</v>
      </c>
      <c r="D54" s="603" t="s">
        <v>307</v>
      </c>
      <c r="E54" s="595" t="s">
        <v>178</v>
      </c>
      <c r="F54" s="597" t="s">
        <v>179</v>
      </c>
      <c r="G54" s="583" t="s">
        <v>304</v>
      </c>
      <c r="H54" s="590"/>
      <c r="I54" s="585" t="s">
        <v>162</v>
      </c>
      <c r="J54" s="578" t="s">
        <v>163</v>
      </c>
      <c r="K54" s="578" t="s">
        <v>164</v>
      </c>
      <c r="L54" s="578" t="s">
        <v>165</v>
      </c>
      <c r="M54" s="578" t="s">
        <v>166</v>
      </c>
      <c r="N54" s="578" t="s">
        <v>167</v>
      </c>
      <c r="O54" s="578" t="s">
        <v>168</v>
      </c>
      <c r="P54" s="580" t="s">
        <v>169</v>
      </c>
      <c r="Q54" s="592"/>
      <c r="R54" s="590"/>
      <c r="AC54" s="121" t="s">
        <v>314</v>
      </c>
      <c r="AK54" s="572"/>
      <c r="AL54" s="286">
        <f t="shared" si="33"/>
        <v>8.8098097408616667</v>
      </c>
      <c r="AM54" s="130">
        <f t="shared" si="34"/>
        <v>5.4107221701471531</v>
      </c>
      <c r="AN54" s="130">
        <f t="shared" si="35"/>
        <v>2.2924573358309743</v>
      </c>
      <c r="AO54" s="130">
        <f t="shared" si="36"/>
        <v>-0.43885688550867741</v>
      </c>
      <c r="AP54" s="130">
        <f t="shared" si="37"/>
        <v>-6.4884561373174705</v>
      </c>
      <c r="AQ54" s="130">
        <f t="shared" si="38"/>
        <v>-12.6177029290672</v>
      </c>
      <c r="AR54" s="130">
        <f t="shared" si="39"/>
        <v>-21.758665559475304</v>
      </c>
      <c r="AS54" s="287">
        <f t="shared" si="40"/>
        <v>-32.390242328229661</v>
      </c>
    </row>
    <row r="55" spans="2:47" x14ac:dyDescent="0.25">
      <c r="B55" s="600"/>
      <c r="C55" s="602"/>
      <c r="D55" s="604"/>
      <c r="E55" s="596"/>
      <c r="F55" s="598"/>
      <c r="G55" s="584"/>
      <c r="H55" s="577"/>
      <c r="I55" s="586"/>
      <c r="J55" s="579"/>
      <c r="K55" s="579"/>
      <c r="L55" s="579"/>
      <c r="M55" s="579"/>
      <c r="N55" s="579"/>
      <c r="O55" s="579"/>
      <c r="P55" s="581"/>
      <c r="Q55" s="593"/>
      <c r="R55" s="594"/>
      <c r="AG55" t="s">
        <v>320</v>
      </c>
      <c r="AK55" s="572"/>
      <c r="AL55" s="286">
        <f t="shared" si="33"/>
        <v>8.68208457514298</v>
      </c>
      <c r="AM55" s="130">
        <f t="shared" si="34"/>
        <v>5.9472136524391459</v>
      </c>
      <c r="AN55" s="130">
        <f t="shared" si="35"/>
        <v>3.4881109144986624</v>
      </c>
      <c r="AO55" s="130">
        <f t="shared" si="36"/>
        <v>-1.1253749336900896</v>
      </c>
      <c r="AP55" s="130">
        <f t="shared" si="37"/>
        <v>-6.6291194335669203</v>
      </c>
      <c r="AQ55" s="130">
        <f t="shared" si="38"/>
        <v>-13.551465487974156</v>
      </c>
      <c r="AR55" s="130">
        <f t="shared" si="39"/>
        <v>-22.037092524468619</v>
      </c>
      <c r="AS55" s="287">
        <f t="shared" si="40"/>
        <v>-33.518721863064847</v>
      </c>
    </row>
    <row r="56" spans="2:47" ht="15.75" thickBot="1" x14ac:dyDescent="0.35">
      <c r="B56" s="255">
        <v>100</v>
      </c>
      <c r="C56" s="256">
        <v>151.53899739781966</v>
      </c>
      <c r="D56" s="257">
        <v>101.26738532564329</v>
      </c>
      <c r="E56" s="252">
        <v>100</v>
      </c>
      <c r="F56" s="333">
        <v>157.03860191126316</v>
      </c>
      <c r="G56" s="254">
        <v>102.092430562251</v>
      </c>
      <c r="H56" s="258">
        <v>184.60740349522183</v>
      </c>
      <c r="I56" s="259">
        <v>72.304964330506905</v>
      </c>
      <c r="J56" s="253">
        <v>69.16475282568851</v>
      </c>
      <c r="K56" s="253">
        <v>65.043832989596751</v>
      </c>
      <c r="L56" s="253">
        <v>64.633431005104697</v>
      </c>
      <c r="M56" s="253">
        <v>59.502893214417355</v>
      </c>
      <c r="N56" s="253">
        <v>51.933626861691664</v>
      </c>
      <c r="O56" s="253">
        <v>42.869753677485782</v>
      </c>
      <c r="P56" s="254">
        <v>32.958135209502515</v>
      </c>
      <c r="Q56" s="260">
        <v>75.108425944465566</v>
      </c>
      <c r="R56" s="336">
        <v>64.724755481903372</v>
      </c>
      <c r="AC56" s="166" t="s">
        <v>315</v>
      </c>
      <c r="AD56" s="166" t="s">
        <v>6</v>
      </c>
      <c r="AE56" s="166" t="s">
        <v>7</v>
      </c>
      <c r="AG56" s="166" t="s">
        <v>301</v>
      </c>
      <c r="AH56" s="166" t="s">
        <v>185</v>
      </c>
      <c r="AK56" s="582"/>
      <c r="AL56" s="288">
        <f t="shared" si="33"/>
        <v>6.785025633134282</v>
      </c>
      <c r="AM56" s="289">
        <f t="shared" si="34"/>
        <v>5.4871243298454004</v>
      </c>
      <c r="AN56" s="289">
        <f t="shared" si="35"/>
        <v>2.1490786341220485</v>
      </c>
      <c r="AO56" s="289">
        <f t="shared" si="36"/>
        <v>0.22764374133458887</v>
      </c>
      <c r="AP56" s="289">
        <f t="shared" si="37"/>
        <v>-6.8543412959089238</v>
      </c>
      <c r="AQ56" s="289">
        <f t="shared" si="38"/>
        <v>-13.627919795167763</v>
      </c>
      <c r="AR56" s="289">
        <f t="shared" si="39"/>
        <v>-20.028442823339688</v>
      </c>
      <c r="AS56" s="290">
        <f t="shared" si="40"/>
        <v>-31.610148997946176</v>
      </c>
      <c r="AT56" s="10"/>
      <c r="AU56" s="10"/>
    </row>
    <row r="57" spans="2:47" x14ac:dyDescent="0.25">
      <c r="B57" s="264">
        <v>100</v>
      </c>
      <c r="C57" s="265">
        <v>136.16184431868615</v>
      </c>
      <c r="D57" s="266">
        <v>228.32890237180374</v>
      </c>
      <c r="E57" s="261">
        <v>100</v>
      </c>
      <c r="F57" s="334">
        <v>143.77222168068852</v>
      </c>
      <c r="G57" s="263">
        <v>226.35064870387797</v>
      </c>
      <c r="H57" s="267">
        <v>184.64056944579829</v>
      </c>
      <c r="I57" s="268">
        <v>72.747048402637461</v>
      </c>
      <c r="J57" s="262">
        <v>69.347960831922947</v>
      </c>
      <c r="K57" s="262">
        <v>66.229695997606768</v>
      </c>
      <c r="L57" s="262">
        <v>63.498381776267117</v>
      </c>
      <c r="M57" s="262">
        <v>57.448782524458323</v>
      </c>
      <c r="N57" s="262">
        <v>51.319535732708594</v>
      </c>
      <c r="O57" s="262">
        <v>42.17857310230049</v>
      </c>
      <c r="P57" s="263">
        <v>31.546996333546137</v>
      </c>
      <c r="Q57" s="269">
        <v>75.387492172629308</v>
      </c>
      <c r="R57" s="337">
        <v>63.937238661775794</v>
      </c>
      <c r="AC57" s="166">
        <v>10</v>
      </c>
      <c r="AD57" s="166">
        <f t="array" ref="AD57:AE57">LINEST(R56:R59,F56:F59)</f>
        <v>-2.2287691393140666E-3</v>
      </c>
      <c r="AE57" s="166">
        <v>64.725944117098635</v>
      </c>
      <c r="AG57" s="279">
        <f>'Laskenta poistopuoli'!O45</f>
        <v>150.57772069495383</v>
      </c>
      <c r="AH57" s="130">
        <f>AD57*AG57+AE57</f>
        <v>64.390341140145466</v>
      </c>
      <c r="AK57" s="571" t="s">
        <v>221</v>
      </c>
      <c r="AL57" s="283">
        <f t="shared" si="33"/>
        <v>5.9708687779817069</v>
      </c>
      <c r="AM57" s="284">
        <f t="shared" si="34"/>
        <v>5.217469440347017</v>
      </c>
      <c r="AN57" s="284">
        <f t="shared" si="35"/>
        <v>2.2013953909852688</v>
      </c>
      <c r="AO57" s="284">
        <f t="shared" si="36"/>
        <v>-0.74073095584455473</v>
      </c>
      <c r="AP57" s="284">
        <f t="shared" si="37"/>
        <v>-6.7258011849674304</v>
      </c>
      <c r="AQ57" s="284">
        <f t="shared" si="38"/>
        <v>-12.306715944284356</v>
      </c>
      <c r="AR57" s="284">
        <f t="shared" si="39"/>
        <v>-22.917509329704188</v>
      </c>
      <c r="AS57" s="285">
        <f t="shared" si="40"/>
        <v>-33.274897920261282</v>
      </c>
      <c r="AT57" s="10"/>
      <c r="AU57" s="10"/>
    </row>
    <row r="58" spans="2:47" x14ac:dyDescent="0.25">
      <c r="B58" s="264">
        <v>100</v>
      </c>
      <c r="C58" s="265">
        <v>121.5515071996969</v>
      </c>
      <c r="D58" s="266">
        <v>341.46771287265176</v>
      </c>
      <c r="E58" s="261">
        <v>100</v>
      </c>
      <c r="F58" s="334">
        <v>129.78686682195772</v>
      </c>
      <c r="G58" s="263">
        <v>341.73794998386967</v>
      </c>
      <c r="H58" s="267">
        <v>184.67553283294509</v>
      </c>
      <c r="I58" s="268">
        <v>73.036248939244004</v>
      </c>
      <c r="J58" s="262">
        <v>70.30137801654017</v>
      </c>
      <c r="K58" s="262">
        <v>67.842275278599686</v>
      </c>
      <c r="L58" s="262">
        <v>63.228789430410934</v>
      </c>
      <c r="M58" s="262">
        <v>57.725044930534104</v>
      </c>
      <c r="N58" s="262">
        <v>50.802698876126868</v>
      </c>
      <c r="O58" s="262">
        <v>42.317071839632405</v>
      </c>
      <c r="P58" s="263">
        <v>30.835442501036177</v>
      </c>
      <c r="Q58" s="269">
        <v>75.994135133852993</v>
      </c>
      <c r="R58" s="337">
        <v>64.354164364101024</v>
      </c>
      <c r="AC58" s="166">
        <v>8</v>
      </c>
      <c r="AD58" s="166">
        <f t="array" ref="AD58:AE58">LINEST(R60:R63,F60:F63)</f>
        <v>-4.6988099223828662E-2</v>
      </c>
      <c r="AE58" s="166">
        <v>68.046170122737124</v>
      </c>
      <c r="AG58" s="279">
        <f>'Laskenta poistopuoli'!O46</f>
        <v>128.16693998999935</v>
      </c>
      <c r="AH58" s="130">
        <f t="shared" ref="AH58:AH60" si="41">AD58*AG58+AE58</f>
        <v>62.023849229272543</v>
      </c>
      <c r="AK58" s="572"/>
      <c r="AL58" s="286">
        <f t="shared" si="33"/>
        <v>5.7146722205107565</v>
      </c>
      <c r="AM58" s="130">
        <f t="shared" si="34"/>
        <v>5.155221071295081</v>
      </c>
      <c r="AN58" s="130">
        <f t="shared" si="35"/>
        <v>5.3809855516967176</v>
      </c>
      <c r="AO58" s="130">
        <f t="shared" si="36"/>
        <v>-1.51955197664401</v>
      </c>
      <c r="AP58" s="130">
        <f t="shared" si="37"/>
        <v>-8.0127101277784547</v>
      </c>
      <c r="AQ58" s="130">
        <f t="shared" si="38"/>
        <v>-14.003270763735777</v>
      </c>
      <c r="AR58" s="130">
        <f t="shared" si="39"/>
        <v>-23.982438082292582</v>
      </c>
      <c r="AS58" s="287">
        <f t="shared" si="40"/>
        <v>-34.034668269689874</v>
      </c>
      <c r="AT58" s="10"/>
      <c r="AU58" s="10"/>
    </row>
    <row r="59" spans="2:47" x14ac:dyDescent="0.25">
      <c r="B59" s="273">
        <v>100</v>
      </c>
      <c r="C59" s="274">
        <v>107.19044179210324</v>
      </c>
      <c r="D59" s="275">
        <v>446.69245400699015</v>
      </c>
      <c r="E59" s="270">
        <v>100</v>
      </c>
      <c r="F59" s="335">
        <v>115.14682583239839</v>
      </c>
      <c r="G59" s="272">
        <v>450.44582198139278</v>
      </c>
      <c r="H59" s="276">
        <v>184.71213293541899</v>
      </c>
      <c r="I59" s="277">
        <v>71.456305057988956</v>
      </c>
      <c r="J59" s="271">
        <v>70.158403754700075</v>
      </c>
      <c r="K59" s="271">
        <v>66.820358058976723</v>
      </c>
      <c r="L59" s="271">
        <v>64.898923166189263</v>
      </c>
      <c r="M59" s="271">
        <v>57.81693812894575</v>
      </c>
      <c r="N59" s="271">
        <v>51.043359629686911</v>
      </c>
      <c r="O59" s="271">
        <v>44.642836601514986</v>
      </c>
      <c r="P59" s="272">
        <v>33.061130426908498</v>
      </c>
      <c r="Q59" s="278">
        <v>75.187373609919604</v>
      </c>
      <c r="R59" s="338">
        <v>64.671279424854674</v>
      </c>
      <c r="AC59" s="166">
        <v>6</v>
      </c>
      <c r="AD59" s="166">
        <f t="array" ref="AD59:AE59">LINEST(R64:R67,F64:F67)</f>
        <v>-2.5578194797580979E-2</v>
      </c>
      <c r="AE59" s="166">
        <v>62.348560862042824</v>
      </c>
      <c r="AG59" s="279">
        <f>'Laskenta poistopuoli'!O47</f>
        <v>92.926642758702698</v>
      </c>
      <c r="AH59" s="130">
        <f t="shared" si="41"/>
        <v>59.971665091675511</v>
      </c>
      <c r="AK59" s="572"/>
      <c r="AL59" s="286">
        <f t="shared" si="33"/>
        <v>6.6028437406128404</v>
      </c>
      <c r="AM59" s="130">
        <f t="shared" si="34"/>
        <v>5.8176679635018189</v>
      </c>
      <c r="AN59" s="130">
        <f t="shared" si="35"/>
        <v>3.020288827116886</v>
      </c>
      <c r="AO59" s="130">
        <f t="shared" si="36"/>
        <v>0.53038021601301466</v>
      </c>
      <c r="AP59" s="130">
        <f t="shared" si="37"/>
        <v>-8.0515637389733996</v>
      </c>
      <c r="AQ59" s="130">
        <f t="shared" si="38"/>
        <v>-14.213640874256527</v>
      </c>
      <c r="AR59" s="130">
        <f t="shared" si="39"/>
        <v>-24.646123789013593</v>
      </c>
      <c r="AS59" s="287">
        <f t="shared" si="40"/>
        <v>-35.871384524049972</v>
      </c>
      <c r="AT59" s="10"/>
      <c r="AU59" s="10"/>
    </row>
    <row r="60" spans="2:47" ht="14.25" thickBot="1" x14ac:dyDescent="0.3">
      <c r="B60" s="255">
        <v>80</v>
      </c>
      <c r="C60" s="256">
        <v>128.23172622554341</v>
      </c>
      <c r="D60" s="257">
        <v>72.869833747162261</v>
      </c>
      <c r="E60" s="252">
        <v>80</v>
      </c>
      <c r="F60" s="333">
        <v>133.42928019520559</v>
      </c>
      <c r="G60" s="254">
        <v>74.710108562649836</v>
      </c>
      <c r="H60" s="258">
        <v>122.91365715779756</v>
      </c>
      <c r="I60" s="259">
        <v>67.778684832418691</v>
      </c>
      <c r="J60" s="253">
        <v>67.025285494784001</v>
      </c>
      <c r="K60" s="253">
        <v>64.009211445422252</v>
      </c>
      <c r="L60" s="253">
        <v>61.067085098592429</v>
      </c>
      <c r="M60" s="253">
        <v>55.082014869469553</v>
      </c>
      <c r="N60" s="253">
        <v>49.501100110152628</v>
      </c>
      <c r="O60" s="253">
        <v>38.890306724732795</v>
      </c>
      <c r="P60" s="254">
        <v>28.532918134175706</v>
      </c>
      <c r="Q60" s="260">
        <v>71.833506440178013</v>
      </c>
      <c r="R60" s="336">
        <v>61.807816054436984</v>
      </c>
      <c r="AC60" s="166">
        <v>4</v>
      </c>
      <c r="AD60" s="166">
        <f t="array" ref="AD60:AE60">LINEST(R68:R71,F68:F71)</f>
        <v>1.1596105649278985E-2</v>
      </c>
      <c r="AE60" s="166">
        <v>47.707462637368231</v>
      </c>
      <c r="AG60" s="279">
        <f>'Laskenta poistopuoli'!O48</f>
        <v>58.763814207834933</v>
      </c>
      <c r="AH60" s="130">
        <f t="shared" si="41"/>
        <v>48.388894035276884</v>
      </c>
      <c r="AK60" s="582"/>
      <c r="AL60" s="288">
        <f t="shared" si="33"/>
        <v>4.3126922549089102</v>
      </c>
      <c r="AM60" s="289">
        <f t="shared" si="34"/>
        <v>4.240344248626954</v>
      </c>
      <c r="AN60" s="289">
        <f t="shared" si="35"/>
        <v>0.12297068078666484</v>
      </c>
      <c r="AO60" s="289">
        <f t="shared" si="36"/>
        <v>2.3321470857448929</v>
      </c>
      <c r="AP60" s="289">
        <f t="shared" si="37"/>
        <v>-9.0314519305604151</v>
      </c>
      <c r="AQ60" s="289">
        <f t="shared" si="38"/>
        <v>-15.266121825406316</v>
      </c>
      <c r="AR60" s="289">
        <f t="shared" si="39"/>
        <v>-22.292288193719692</v>
      </c>
      <c r="AS60" s="290">
        <f t="shared" si="40"/>
        <v>-35.733917338207128</v>
      </c>
      <c r="AT60" s="10"/>
      <c r="AU60" s="10"/>
    </row>
    <row r="61" spans="2:47" x14ac:dyDescent="0.25">
      <c r="B61" s="264">
        <v>80</v>
      </c>
      <c r="C61" s="265">
        <v>115.70516598989857</v>
      </c>
      <c r="D61" s="266">
        <v>167.97899103014714</v>
      </c>
      <c r="E61" s="261">
        <v>80</v>
      </c>
      <c r="F61" s="334">
        <v>122.32952708814292</v>
      </c>
      <c r="G61" s="263">
        <v>167.82243916881114</v>
      </c>
      <c r="H61" s="267">
        <v>123.97705861523986</v>
      </c>
      <c r="I61" s="268">
        <v>68.18985600263737</v>
      </c>
      <c r="J61" s="262">
        <v>67.630404853421695</v>
      </c>
      <c r="K61" s="262">
        <v>67.856169333823331</v>
      </c>
      <c r="L61" s="262">
        <v>60.955631805482604</v>
      </c>
      <c r="M61" s="262">
        <v>54.462473654348159</v>
      </c>
      <c r="N61" s="262">
        <v>48.471913018390836</v>
      </c>
      <c r="O61" s="262">
        <v>38.492745699834032</v>
      </c>
      <c r="P61" s="263">
        <v>28.44051551243674</v>
      </c>
      <c r="Q61" s="269">
        <v>73.030670149290387</v>
      </c>
      <c r="R61" s="337">
        <v>62.475183782126614</v>
      </c>
      <c r="AK61" s="571" t="s">
        <v>172</v>
      </c>
      <c r="AL61" s="283">
        <f t="shared" si="33"/>
        <v>2.5916238856384197</v>
      </c>
      <c r="AM61" s="284">
        <f t="shared" si="34"/>
        <v>2.2905631675805154</v>
      </c>
      <c r="AN61" s="284">
        <f t="shared" si="35"/>
        <v>-0.71059994990280018</v>
      </c>
      <c r="AO61" s="284">
        <f t="shared" si="36"/>
        <v>3.126314829537499</v>
      </c>
      <c r="AP61" s="284">
        <f t="shared" si="37"/>
        <v>-9.1377153341028503</v>
      </c>
      <c r="AQ61" s="284">
        <f t="shared" si="38"/>
        <v>-17.636745077718942</v>
      </c>
      <c r="AR61" s="284">
        <f t="shared" si="39"/>
        <v>-28.942819384644039</v>
      </c>
      <c r="AS61" s="285">
        <f t="shared" si="40"/>
        <v>-37.418770554516996</v>
      </c>
      <c r="AT61" s="10"/>
      <c r="AU61" s="10"/>
    </row>
    <row r="62" spans="2:47" x14ac:dyDescent="0.25">
      <c r="B62" s="264">
        <v>80</v>
      </c>
      <c r="C62" s="265">
        <v>103.04804272697268</v>
      </c>
      <c r="D62" s="266">
        <v>251.01049441707931</v>
      </c>
      <c r="E62" s="261">
        <v>80</v>
      </c>
      <c r="F62" s="334">
        <v>109.7254885587823</v>
      </c>
      <c r="G62" s="263">
        <v>255.83198724622918</v>
      </c>
      <c r="H62" s="267">
        <v>124.19865716945147</v>
      </c>
      <c r="I62" s="268">
        <v>69.055304112037533</v>
      </c>
      <c r="J62" s="262">
        <v>68.270128334926511</v>
      </c>
      <c r="K62" s="262">
        <v>65.472749198541578</v>
      </c>
      <c r="L62" s="262">
        <v>62.982840587437707</v>
      </c>
      <c r="M62" s="262">
        <v>54.400896632451293</v>
      </c>
      <c r="N62" s="262">
        <v>48.238819497168166</v>
      </c>
      <c r="O62" s="262">
        <v>37.806336582411099</v>
      </c>
      <c r="P62" s="263">
        <v>26.58107584737472</v>
      </c>
      <c r="Q62" s="269">
        <v>73.143209675050628</v>
      </c>
      <c r="R62" s="337">
        <v>62.452460371424692</v>
      </c>
      <c r="AC62" t="s">
        <v>317</v>
      </c>
      <c r="AK62" s="572"/>
      <c r="AL62" s="286">
        <f t="shared" si="33"/>
        <v>4.1112193271608675</v>
      </c>
      <c r="AM62" s="130">
        <f t="shared" si="34"/>
        <v>2.4308291338239414</v>
      </c>
      <c r="AN62" s="130">
        <f t="shared" si="35"/>
        <v>0.53666389187561947</v>
      </c>
      <c r="AO62" s="130">
        <f t="shared" si="36"/>
        <v>2.7803451432586144</v>
      </c>
      <c r="AP62" s="130">
        <f t="shared" si="37"/>
        <v>-8.4472150006953584</v>
      </c>
      <c r="AQ62" s="130">
        <f t="shared" si="38"/>
        <v>-17.918850838243785</v>
      </c>
      <c r="AR62" s="130">
        <f t="shared" si="39"/>
        <v>-29.741464600765823</v>
      </c>
      <c r="AS62" s="287">
        <f t="shared" si="40"/>
        <v>-37.819026045037177</v>
      </c>
      <c r="AT62" s="10"/>
      <c r="AU62" s="10"/>
    </row>
    <row r="63" spans="2:47" ht="14.25" x14ac:dyDescent="0.3">
      <c r="B63" s="273">
        <v>80</v>
      </c>
      <c r="C63" s="274">
        <v>90.601939043825169</v>
      </c>
      <c r="D63" s="275">
        <v>323.98986158313409</v>
      </c>
      <c r="E63" s="270">
        <v>80</v>
      </c>
      <c r="F63" s="335">
        <v>96.783984844529854</v>
      </c>
      <c r="G63" s="272">
        <v>334.15807703926242</v>
      </c>
      <c r="H63" s="276">
        <v>123.33521637680283</v>
      </c>
      <c r="I63" s="277">
        <v>68.040804696935638</v>
      </c>
      <c r="J63" s="271">
        <v>67.968456690653682</v>
      </c>
      <c r="K63" s="271">
        <v>63.851083122813392</v>
      </c>
      <c r="L63" s="271">
        <v>66.06025952777162</v>
      </c>
      <c r="M63" s="271">
        <v>54.696660511466312</v>
      </c>
      <c r="N63" s="271">
        <v>48.461990616620412</v>
      </c>
      <c r="O63" s="271">
        <v>41.435824248307036</v>
      </c>
      <c r="P63" s="272">
        <v>27.9941951038196</v>
      </c>
      <c r="Q63" s="278">
        <v>72.895126568294131</v>
      </c>
      <c r="R63" s="338">
        <v>63.728112442026728</v>
      </c>
      <c r="AC63" s="121" t="s">
        <v>318</v>
      </c>
      <c r="AG63" s="121" t="s">
        <v>487</v>
      </c>
      <c r="AK63" s="572"/>
      <c r="AL63" s="286">
        <f t="shared" si="33"/>
        <v>3.6791406925881986</v>
      </c>
      <c r="AM63" s="130">
        <f t="shared" si="34"/>
        <v>3.0424232589976086</v>
      </c>
      <c r="AN63" s="130">
        <f t="shared" si="35"/>
        <v>1.8056552954223974</v>
      </c>
      <c r="AO63" s="130">
        <f t="shared" si="36"/>
        <v>2.0146685136545628</v>
      </c>
      <c r="AP63" s="130">
        <f t="shared" si="37"/>
        <v>-8.2194368305199106</v>
      </c>
      <c r="AQ63" s="130">
        <f t="shared" si="38"/>
        <v>-17.347153568173624</v>
      </c>
      <c r="AR63" s="130">
        <f t="shared" si="39"/>
        <v>-29.638417909633262</v>
      </c>
      <c r="AS63" s="287">
        <f t="shared" si="40"/>
        <v>-37.434635188958651</v>
      </c>
      <c r="AT63" s="10"/>
      <c r="AU63" s="10"/>
    </row>
    <row r="64" spans="2:47" ht="16.5" thickBot="1" x14ac:dyDescent="0.35">
      <c r="B64" s="255">
        <v>60</v>
      </c>
      <c r="C64" s="256">
        <v>89.217529226342947</v>
      </c>
      <c r="D64" s="257">
        <v>36.76518153751671</v>
      </c>
      <c r="E64" s="252">
        <v>60</v>
      </c>
      <c r="F64" s="333">
        <v>96.239143550334759</v>
      </c>
      <c r="G64" s="254">
        <v>40.628876983451406</v>
      </c>
      <c r="H64" s="258">
        <v>58.793749548999173</v>
      </c>
      <c r="I64" s="259">
        <v>62.613734099683349</v>
      </c>
      <c r="J64" s="253">
        <v>62.312673381625444</v>
      </c>
      <c r="K64" s="253">
        <v>59.311510264142129</v>
      </c>
      <c r="L64" s="253">
        <v>63.148425043582428</v>
      </c>
      <c r="M64" s="253">
        <v>50.884394879942079</v>
      </c>
      <c r="N64" s="253">
        <v>42.385365136325987</v>
      </c>
      <c r="O64" s="253">
        <v>31.07929082940089</v>
      </c>
      <c r="P64" s="254">
        <v>22.603339659527929</v>
      </c>
      <c r="Q64" s="260">
        <v>68.187581199772296</v>
      </c>
      <c r="R64" s="336">
        <v>60.022110214044929</v>
      </c>
      <c r="AC64" s="121" t="s">
        <v>319</v>
      </c>
      <c r="AF64" s="5"/>
      <c r="AG64" s="121" t="s">
        <v>319</v>
      </c>
      <c r="AK64" s="572"/>
      <c r="AL64" s="288">
        <f t="shared" si="33"/>
        <v>2.5858203077791586</v>
      </c>
      <c r="AM64" s="289">
        <f t="shared" si="34"/>
        <v>2.2311975903887671</v>
      </c>
      <c r="AN64" s="289">
        <f t="shared" si="35"/>
        <v>2.108471626534751</v>
      </c>
      <c r="AO64" s="289">
        <f t="shared" si="36"/>
        <v>2.1410882390132286</v>
      </c>
      <c r="AP64" s="289">
        <f t="shared" si="37"/>
        <v>-10.463012069178475</v>
      </c>
      <c r="AQ64" s="289">
        <f t="shared" si="38"/>
        <v>-18.51541781326344</v>
      </c>
      <c r="AR64" s="289">
        <f t="shared" si="39"/>
        <v>-30.861322287462642</v>
      </c>
      <c r="AS64" s="290">
        <f t="shared" si="40"/>
        <v>-38.573969578318639</v>
      </c>
      <c r="AT64" s="10"/>
      <c r="AU64" s="10"/>
    </row>
    <row r="65" spans="2:49" x14ac:dyDescent="0.25">
      <c r="B65" s="264">
        <v>60</v>
      </c>
      <c r="C65" s="265">
        <v>81.443814239980952</v>
      </c>
      <c r="D65" s="266">
        <v>85.979787103026496</v>
      </c>
      <c r="E65" s="261">
        <v>60</v>
      </c>
      <c r="F65" s="334">
        <v>89.370392636908349</v>
      </c>
      <c r="G65" s="263">
        <v>90.435417349706668</v>
      </c>
      <c r="H65" s="267">
        <v>59.293840645223895</v>
      </c>
      <c r="I65" s="268">
        <v>64.313537070910144</v>
      </c>
      <c r="J65" s="262">
        <v>62.633146877573218</v>
      </c>
      <c r="K65" s="262">
        <v>60.738981635624896</v>
      </c>
      <c r="L65" s="262">
        <v>62.982662887007891</v>
      </c>
      <c r="M65" s="262">
        <v>51.755102743053918</v>
      </c>
      <c r="N65" s="262">
        <v>42.283466905505492</v>
      </c>
      <c r="O65" s="262">
        <v>30.460853142983453</v>
      </c>
      <c r="P65" s="263">
        <v>22.3832916987121</v>
      </c>
      <c r="Q65" s="269">
        <v>68.962167170783331</v>
      </c>
      <c r="R65" s="337">
        <v>60.202317743749276</v>
      </c>
      <c r="AC65" s="166" t="s">
        <v>6</v>
      </c>
      <c r="AD65" s="166" t="s">
        <v>7</v>
      </c>
      <c r="AG65" s="166" t="s">
        <v>6</v>
      </c>
      <c r="AH65" s="166" t="s">
        <v>7</v>
      </c>
      <c r="AI65" s="166" t="s">
        <v>8</v>
      </c>
      <c r="AK65" s="573" t="s">
        <v>171</v>
      </c>
      <c r="AL65" s="291">
        <f t="shared" si="33"/>
        <v>8.7198152425351552</v>
      </c>
      <c r="AM65" s="284">
        <f t="shared" si="34"/>
        <v>8.0625321774126419</v>
      </c>
      <c r="AN65" s="284">
        <f t="shared" si="35"/>
        <v>2.6859381239155056</v>
      </c>
      <c r="AO65" s="284">
        <f t="shared" si="36"/>
        <v>-1.8516886908475527</v>
      </c>
      <c r="AP65" s="284">
        <f t="shared" si="37"/>
        <v>-6.164343510947532</v>
      </c>
      <c r="AQ65" s="284">
        <f t="shared" si="38"/>
        <v>-14.440851620337497</v>
      </c>
      <c r="AR65" s="284">
        <f t="shared" si="39"/>
        <v>-26.939716147864882</v>
      </c>
      <c r="AS65" s="285">
        <f t="shared" si="40"/>
        <v>-26.052281174280697</v>
      </c>
      <c r="AT65" s="10"/>
      <c r="AU65" s="10"/>
    </row>
    <row r="66" spans="2:49" x14ac:dyDescent="0.25">
      <c r="B66" s="264">
        <v>60</v>
      </c>
      <c r="C66" s="265">
        <v>73.3007340072121</v>
      </c>
      <c r="D66" s="266">
        <v>129.83880942864232</v>
      </c>
      <c r="E66" s="261">
        <v>60</v>
      </c>
      <c r="F66" s="334">
        <v>80.669573412379322</v>
      </c>
      <c r="G66" s="263">
        <v>138.90772905845239</v>
      </c>
      <c r="H66" s="267">
        <v>59.548008149293608</v>
      </c>
      <c r="I66" s="268">
        <v>63.329720524456683</v>
      </c>
      <c r="J66" s="262">
        <v>62.693003090866092</v>
      </c>
      <c r="K66" s="262">
        <v>61.456235127290881</v>
      </c>
      <c r="L66" s="262">
        <v>61.665248345523047</v>
      </c>
      <c r="M66" s="262">
        <v>51.431143001348573</v>
      </c>
      <c r="N66" s="262">
        <v>42.30342626369486</v>
      </c>
      <c r="O66" s="262">
        <v>30.012161922235222</v>
      </c>
      <c r="P66" s="263">
        <v>22.215944642909836</v>
      </c>
      <c r="Q66" s="269">
        <v>68.472409116149095</v>
      </c>
      <c r="R66" s="337">
        <v>59.650579831868484</v>
      </c>
      <c r="AC66" s="280">
        <f t="array" ref="AC66:AD66">LINEST(AH57:AH60,LN(AG57:AG60))</f>
        <v>16.541227762704256</v>
      </c>
      <c r="AD66" s="280">
        <v>-17.698456612441056</v>
      </c>
      <c r="AG66" s="280">
        <f t="array" ref="AG66:AI66">LINEST(AH57:AH60,AG57:AG60^{1,2})</f>
        <v>-2.2556209165466392E-3</v>
      </c>
      <c r="AH66" s="280">
        <v>0.63458862481476086</v>
      </c>
      <c r="AI66" s="280">
        <v>19.272102963129328</v>
      </c>
      <c r="AK66" s="574"/>
      <c r="AL66" s="292">
        <f t="shared" si="33"/>
        <v>14.409394073626245</v>
      </c>
      <c r="AM66" s="130">
        <f t="shared" si="34"/>
        <v>14.462959926890193</v>
      </c>
      <c r="AN66" s="130">
        <f t="shared" si="35"/>
        <v>1.76757998222336</v>
      </c>
      <c r="AO66" s="130">
        <f t="shared" si="36"/>
        <v>-4.6282414571700414</v>
      </c>
      <c r="AP66" s="130">
        <f t="shared" si="37"/>
        <v>-9.3989227209703898</v>
      </c>
      <c r="AQ66" s="130">
        <f t="shared" si="38"/>
        <v>-17.020330345064586</v>
      </c>
      <c r="AR66" s="130">
        <f t="shared" si="39"/>
        <v>-29.987422217239526</v>
      </c>
      <c r="AS66" s="287">
        <f t="shared" si="40"/>
        <v>-28.359715027059295</v>
      </c>
      <c r="AT66" s="10"/>
      <c r="AU66" s="10"/>
    </row>
    <row r="67" spans="2:49" x14ac:dyDescent="0.25">
      <c r="B67" s="273">
        <v>60</v>
      </c>
      <c r="C67" s="274">
        <v>64.918786925103717</v>
      </c>
      <c r="D67" s="275">
        <v>169.65126922237661</v>
      </c>
      <c r="E67" s="270">
        <v>60</v>
      </c>
      <c r="F67" s="335">
        <v>71.440570595477595</v>
      </c>
      <c r="G67" s="272">
        <v>181.25079316482041</v>
      </c>
      <c r="H67" s="276">
        <v>59.354276643498174</v>
      </c>
      <c r="I67" s="277">
        <v>63.466796199280758</v>
      </c>
      <c r="J67" s="271">
        <v>63.112173481890366</v>
      </c>
      <c r="K67" s="271">
        <v>62.98944751803635</v>
      </c>
      <c r="L67" s="271">
        <v>63.022064130514828</v>
      </c>
      <c r="M67" s="271">
        <v>50.417963822323124</v>
      </c>
      <c r="N67" s="271">
        <v>42.365558078238159</v>
      </c>
      <c r="O67" s="271">
        <v>30.019653604038957</v>
      </c>
      <c r="P67" s="272">
        <v>22.307006313182956</v>
      </c>
      <c r="Q67" s="278">
        <v>69.239432057834719</v>
      </c>
      <c r="R67" s="338">
        <v>60.880975891501599</v>
      </c>
      <c r="AF67" s="281"/>
      <c r="AK67" s="574"/>
      <c r="AL67" s="292">
        <f t="shared" si="33"/>
        <v>17.777380903991656</v>
      </c>
      <c r="AM67" s="130">
        <f t="shared" si="34"/>
        <v>8.2113288373626716</v>
      </c>
      <c r="AN67" s="130">
        <f t="shared" si="35"/>
        <v>2.6144625692573484</v>
      </c>
      <c r="AO67" s="130">
        <f t="shared" si="36"/>
        <v>-4.3405138283666602</v>
      </c>
      <c r="AP67" s="130">
        <f t="shared" si="37"/>
        <v>-8.9663423122602239</v>
      </c>
      <c r="AQ67" s="130">
        <f t="shared" si="38"/>
        <v>-16.517191598615504</v>
      </c>
      <c r="AR67" s="130">
        <f t="shared" si="39"/>
        <v>-29.616955192382399</v>
      </c>
      <c r="AS67" s="287">
        <f t="shared" si="40"/>
        <v>-27.780536401931627</v>
      </c>
      <c r="AT67" s="10"/>
      <c r="AU67" s="10"/>
    </row>
    <row r="68" spans="2:49" ht="14.25" thickBot="1" x14ac:dyDescent="0.3">
      <c r="B68" s="255">
        <v>40</v>
      </c>
      <c r="C68" s="256">
        <v>53.592262233362575</v>
      </c>
      <c r="D68" s="257">
        <v>13.007456398852163</v>
      </c>
      <c r="E68" s="252">
        <v>40</v>
      </c>
      <c r="F68" s="333">
        <v>60.911031133624881</v>
      </c>
      <c r="G68" s="254">
        <v>18.2933149865895</v>
      </c>
      <c r="H68" s="258">
        <v>26.502206328461519</v>
      </c>
      <c r="I68" s="259">
        <v>55.894716477023664</v>
      </c>
      <c r="J68" s="253">
        <v>55.237433411901151</v>
      </c>
      <c r="K68" s="253">
        <v>49.860839358404014</v>
      </c>
      <c r="L68" s="253">
        <v>45.323212543640956</v>
      </c>
      <c r="M68" s="253">
        <v>41.010557723540977</v>
      </c>
      <c r="N68" s="253">
        <v>32.734049614151012</v>
      </c>
      <c r="O68" s="253">
        <v>20.235185086623627</v>
      </c>
      <c r="P68" s="254">
        <v>21.122620060207812</v>
      </c>
      <c r="Q68" s="260">
        <v>59.386267535462245</v>
      </c>
      <c r="R68" s="336">
        <v>47.174901234488509</v>
      </c>
      <c r="AC68" t="s">
        <v>322</v>
      </c>
      <c r="AK68" s="575"/>
      <c r="AL68" s="293">
        <f t="shared" si="33"/>
        <v>8.3438135328258412</v>
      </c>
      <c r="AM68" s="167">
        <f t="shared" si="34"/>
        <v>8.6410976041686993</v>
      </c>
      <c r="AN68" s="167">
        <f t="shared" si="35"/>
        <v>4.6403100234978396</v>
      </c>
      <c r="AO68" s="167">
        <f t="shared" si="36"/>
        <v>-2.3567196518669391</v>
      </c>
      <c r="AP68" s="167">
        <f t="shared" si="37"/>
        <v>-7.4271800406778326</v>
      </c>
      <c r="AQ68" s="167">
        <f t="shared" si="38"/>
        <v>-15.19641145259277</v>
      </c>
      <c r="AR68" s="167">
        <f t="shared" si="39"/>
        <v>-28.173155121052261</v>
      </c>
      <c r="AS68" s="294">
        <f t="shared" si="40"/>
        <v>-26.20330051373341</v>
      </c>
      <c r="AT68" s="10"/>
      <c r="AU68" s="10"/>
      <c r="AW68" s="10" t="s">
        <v>330</v>
      </c>
    </row>
    <row r="69" spans="2:49" ht="14.25" thickTop="1" x14ac:dyDescent="0.25">
      <c r="B69" s="264">
        <v>40</v>
      </c>
      <c r="C69" s="265">
        <v>49.310014671561106</v>
      </c>
      <c r="D69" s="266">
        <v>31.880730001782673</v>
      </c>
      <c r="E69" s="261">
        <v>40</v>
      </c>
      <c r="F69" s="334">
        <v>57.418004704293189</v>
      </c>
      <c r="G69" s="263">
        <v>36.769501922994245</v>
      </c>
      <c r="H69" s="267">
        <v>26.362710634084337</v>
      </c>
      <c r="I69" s="268">
        <v>64.051612608777049</v>
      </c>
      <c r="J69" s="262">
        <v>64.105178462040996</v>
      </c>
      <c r="K69" s="262">
        <v>51.409798517374163</v>
      </c>
      <c r="L69" s="262">
        <v>45.013977077980762</v>
      </c>
      <c r="M69" s="262">
        <v>40.243295814180414</v>
      </c>
      <c r="N69" s="262">
        <v>32.621888190086217</v>
      </c>
      <c r="O69" s="262">
        <v>19.654796317911277</v>
      </c>
      <c r="P69" s="263">
        <v>21.282503508091509</v>
      </c>
      <c r="Q69" s="269">
        <v>67.241189739284536</v>
      </c>
      <c r="R69" s="337">
        <v>49.642218535150803</v>
      </c>
      <c r="AC69" s="116">
        <f>Tulostus!L36</f>
        <v>84</v>
      </c>
      <c r="AD69" t="s">
        <v>223</v>
      </c>
      <c r="AE69" s="159" t="s">
        <v>321</v>
      </c>
      <c r="AF69" s="119" t="s">
        <v>185</v>
      </c>
      <c r="AG69" s="282">
        <f>AVERAGE(AD72:AD73)</f>
        <v>56.127289746229252</v>
      </c>
      <c r="AH69" s="6" t="s">
        <v>189</v>
      </c>
      <c r="AI69" t="s">
        <v>182</v>
      </c>
      <c r="AK69" s="295">
        <v>10</v>
      </c>
      <c r="AL69" s="296">
        <f>ROUND(AVERAGE(AL53:AL56),0)</f>
        <v>8</v>
      </c>
      <c r="AM69" s="296">
        <f t="shared" ref="AM69:AS69" si="42">ROUND(AVERAGE(AM53:AM56),0)</f>
        <v>5</v>
      </c>
      <c r="AN69" s="296">
        <f t="shared" si="42"/>
        <v>2</v>
      </c>
      <c r="AO69" s="296">
        <f t="shared" si="42"/>
        <v>0</v>
      </c>
      <c r="AP69" s="296">
        <f t="shared" si="42"/>
        <v>-6</v>
      </c>
      <c r="AQ69" s="296">
        <f t="shared" si="42"/>
        <v>-13</v>
      </c>
      <c r="AR69" s="296">
        <f t="shared" si="42"/>
        <v>-21</v>
      </c>
      <c r="AS69" s="296">
        <f t="shared" si="42"/>
        <v>-32</v>
      </c>
      <c r="AT69" s="3">
        <f t="array" ref="AT69">10*LOG10(SUM(10^((AL69:AS69+$AL$128:$AS$128)/10)))</f>
        <v>0.48408529272464862</v>
      </c>
      <c r="AU69" s="10" t="str">
        <f>IF(ABS(AT69)&lt;0.5,"OK","TARKASTA")</f>
        <v>OK</v>
      </c>
      <c r="AW69" s="10">
        <f>ABS(AK69-'Laskenta poistopuoli_W'!$N$55)</f>
        <v>4.1358936611864632</v>
      </c>
    </row>
    <row r="70" spans="2:49" x14ac:dyDescent="0.25">
      <c r="B70" s="264">
        <v>40</v>
      </c>
      <c r="C70" s="265">
        <v>44.730107878803452</v>
      </c>
      <c r="D70" s="266">
        <v>48.966776713076023</v>
      </c>
      <c r="E70" s="261">
        <v>40</v>
      </c>
      <c r="F70" s="334">
        <v>52.036723895910569</v>
      </c>
      <c r="G70" s="263">
        <v>56.903239317673155</v>
      </c>
      <c r="H70" s="267">
        <v>26.123929021175123</v>
      </c>
      <c r="I70" s="268">
        <v>66.763528943458311</v>
      </c>
      <c r="J70" s="262">
        <v>57.197476876829327</v>
      </c>
      <c r="K70" s="262">
        <v>51.600610608724004</v>
      </c>
      <c r="L70" s="262">
        <v>44.645634211099996</v>
      </c>
      <c r="M70" s="262">
        <v>40.019805727206432</v>
      </c>
      <c r="N70" s="262">
        <v>32.468956440851152</v>
      </c>
      <c r="O70" s="262">
        <v>19.369192847084257</v>
      </c>
      <c r="P70" s="263">
        <v>21.205611637535029</v>
      </c>
      <c r="Q70" s="269">
        <v>67.369154864536071</v>
      </c>
      <c r="R70" s="337">
        <v>48.986148039466656</v>
      </c>
      <c r="AF70" t="s">
        <v>490</v>
      </c>
      <c r="AK70" s="299">
        <v>8</v>
      </c>
      <c r="AL70" s="300">
        <f>ROUND(AVERAGE(AL57:AL60),0)</f>
        <v>6</v>
      </c>
      <c r="AM70" s="300">
        <f t="shared" ref="AM70:AS70" si="43">ROUND(AVERAGE(AM57:AM60),0)</f>
        <v>5</v>
      </c>
      <c r="AN70" s="300">
        <f t="shared" si="43"/>
        <v>3</v>
      </c>
      <c r="AO70" s="300">
        <f t="shared" si="43"/>
        <v>0</v>
      </c>
      <c r="AP70" s="300">
        <f t="shared" si="43"/>
        <v>-8</v>
      </c>
      <c r="AQ70" s="300">
        <f t="shared" si="43"/>
        <v>-14</v>
      </c>
      <c r="AR70" s="300">
        <f t="shared" si="43"/>
        <v>-23</v>
      </c>
      <c r="AS70" s="300">
        <f t="shared" si="43"/>
        <v>-35</v>
      </c>
      <c r="AT70" s="3">
        <f t="array" ref="AT70">10*LOG10(SUM(10^((AL70:AS70+$AL$128:$AS$128)/10)))</f>
        <v>0.24794534879763699</v>
      </c>
      <c r="AU70" s="10" t="str">
        <f t="shared" ref="AU70:AU72" si="44">IF(ABS(AT70)&lt;0.5,"OK","TARKASTA")</f>
        <v>OK</v>
      </c>
      <c r="AW70" s="10">
        <f>ABS(AK70-'Laskenta poistopuoli_W'!$N$55)</f>
        <v>2.1358936611864632</v>
      </c>
    </row>
    <row r="71" spans="2:49" x14ac:dyDescent="0.25">
      <c r="B71" s="273">
        <v>40</v>
      </c>
      <c r="C71" s="274">
        <v>39.95787472539687</v>
      </c>
      <c r="D71" s="275">
        <v>64.590438214061408</v>
      </c>
      <c r="E71" s="270">
        <v>40</v>
      </c>
      <c r="F71" s="335">
        <v>46.130252561001356</v>
      </c>
      <c r="G71" s="272">
        <v>74.117345885504108</v>
      </c>
      <c r="H71" s="276">
        <v>25.828507928124349</v>
      </c>
      <c r="I71" s="277">
        <v>55.880906904411241</v>
      </c>
      <c r="J71" s="271">
        <v>56.178190975754099</v>
      </c>
      <c r="K71" s="271">
        <v>52.177403395083239</v>
      </c>
      <c r="L71" s="271">
        <v>45.18037371971846</v>
      </c>
      <c r="M71" s="271">
        <v>40.109913330907567</v>
      </c>
      <c r="N71" s="271">
        <v>32.34068191899263</v>
      </c>
      <c r="O71" s="271">
        <v>19.363938250533138</v>
      </c>
      <c r="P71" s="272">
        <v>21.333792857851989</v>
      </c>
      <c r="Q71" s="278">
        <v>60.053409267193601</v>
      </c>
      <c r="R71" s="338">
        <v>47.537093371585399</v>
      </c>
      <c r="AC71" s="6" t="s">
        <v>185</v>
      </c>
      <c r="AK71" s="299">
        <v>6</v>
      </c>
      <c r="AL71" s="300">
        <f>ROUND(AVERAGE(AL61:AL64),0)</f>
        <v>3</v>
      </c>
      <c r="AM71" s="300">
        <f t="shared" ref="AM71:AS71" si="45">ROUND(AVERAGE(AM61:AM64),0)</f>
        <v>2</v>
      </c>
      <c r="AN71" s="300">
        <f t="shared" si="45"/>
        <v>1</v>
      </c>
      <c r="AO71" s="300">
        <f>ROUND(AVERAGE(AO63:AO64),0)</f>
        <v>2</v>
      </c>
      <c r="AP71" s="300">
        <f t="shared" si="45"/>
        <v>-9</v>
      </c>
      <c r="AQ71" s="300">
        <f t="shared" si="45"/>
        <v>-18</v>
      </c>
      <c r="AR71" s="300">
        <f t="shared" si="45"/>
        <v>-30</v>
      </c>
      <c r="AS71" s="300">
        <f t="shared" si="45"/>
        <v>-38</v>
      </c>
      <c r="AT71" s="3">
        <f t="array" ref="AT71">10*LOG10(SUM(10^((AL71:AS71+$AL$128:$AS$128)/10)))</f>
        <v>0.50849734166756932</v>
      </c>
      <c r="AU71" s="10" t="str">
        <f t="shared" si="44"/>
        <v>TARKASTA</v>
      </c>
      <c r="AW71" s="10">
        <f>ABS(AK71-'Laskenta poistopuoli_W'!$N$55)</f>
        <v>0.13589366118646318</v>
      </c>
    </row>
    <row r="72" spans="2:49" ht="14.25" thickBot="1" x14ac:dyDescent="0.3">
      <c r="AC72" t="s">
        <v>488</v>
      </c>
      <c r="AD72" s="558">
        <f>AC66*LN(AC69)+AD66</f>
        <v>55.592693232042357</v>
      </c>
      <c r="AE72" t="s">
        <v>189</v>
      </c>
      <c r="AK72" s="303">
        <v>4</v>
      </c>
      <c r="AL72" s="304">
        <f>ROUND(AVERAGE(AL65:AL68),0)</f>
        <v>12</v>
      </c>
      <c r="AM72" s="304">
        <f t="shared" ref="AM72:AR72" si="46">ROUND(AVERAGE(AM65:AM68),0)</f>
        <v>10</v>
      </c>
      <c r="AN72" s="304">
        <f t="shared" si="46"/>
        <v>3</v>
      </c>
      <c r="AO72" s="304">
        <f t="shared" si="46"/>
        <v>-3</v>
      </c>
      <c r="AP72" s="304">
        <f t="shared" si="46"/>
        <v>-8</v>
      </c>
      <c r="AQ72" s="304">
        <f t="shared" si="46"/>
        <v>-16</v>
      </c>
      <c r="AR72" s="304">
        <f t="shared" si="46"/>
        <v>-29</v>
      </c>
      <c r="AS72" s="556">
        <v>-39</v>
      </c>
      <c r="AT72" s="3">
        <f t="array" ref="AT72">10*LOG10(SUM(10^((AL72:AS72+$AL$128:$AS$128)/10)))</f>
        <v>-3.4528494736725125E-2</v>
      </c>
      <c r="AU72" s="10" t="str">
        <f t="shared" si="44"/>
        <v>OK</v>
      </c>
      <c r="AW72" s="10">
        <f>ABS(AK72-'Laskenta poistopuoli_W'!$N$55)</f>
        <v>1.8641063388135368</v>
      </c>
    </row>
    <row r="73" spans="2:49" x14ac:dyDescent="0.25">
      <c r="AC73" t="s">
        <v>489</v>
      </c>
      <c r="AD73" s="558">
        <f>AG66*AC69^2+AH66*AC69+AI66</f>
        <v>56.661886260416154</v>
      </c>
      <c r="AE73" t="s">
        <v>189</v>
      </c>
      <c r="AK73" s="310" t="s">
        <v>184</v>
      </c>
      <c r="AL73" s="311" cm="1">
        <f t="array" ref="AL73">INDEX(AL69:AL72,$AW$73)</f>
        <v>3</v>
      </c>
      <c r="AM73" s="311" cm="1">
        <f t="array" ref="AM73">INDEX(AM69:AM72,$AW$73)</f>
        <v>2</v>
      </c>
      <c r="AN73" s="311" cm="1">
        <f t="array" ref="AN73">INDEX(AN69:AN72,$AW$73)</f>
        <v>1</v>
      </c>
      <c r="AO73" s="311" cm="1">
        <f t="array" ref="AO73">INDEX(AO69:AO72,$AW$73)</f>
        <v>2</v>
      </c>
      <c r="AP73" s="311" cm="1">
        <f t="array" ref="AP73">INDEX(AP69:AP72,$AW$73)</f>
        <v>-9</v>
      </c>
      <c r="AQ73" s="311" cm="1">
        <f t="array" ref="AQ73">INDEX(AQ69:AQ72,$AW$73)</f>
        <v>-18</v>
      </c>
      <c r="AR73" s="311" cm="1">
        <f t="array" ref="AR73">INDEX(AR69:AR72,$AW$73)</f>
        <v>-30</v>
      </c>
      <c r="AS73" s="311" cm="1">
        <f t="array" ref="AS73">INDEX(AS69:AS72,$AW$73)</f>
        <v>-38</v>
      </c>
      <c r="AT73" s="166" t="s">
        <v>188</v>
      </c>
      <c r="AU73" s="130" t="s">
        <v>331</v>
      </c>
      <c r="AW73" s="6">
        <f>MATCH(MIN(AW69:AW72),AW69:AW72,0)</f>
        <v>3</v>
      </c>
    </row>
    <row r="74" spans="2:49" x14ac:dyDescent="0.25">
      <c r="AK74" s="158" t="s">
        <v>329</v>
      </c>
      <c r="AL74" s="307">
        <f>$AG$69+AL73</f>
        <v>59.127289746229252</v>
      </c>
      <c r="AM74" s="307">
        <f t="shared" ref="AM74:AS74" si="47">$AG$69+AM73</f>
        <v>58.127289746229252</v>
      </c>
      <c r="AN74" s="307">
        <f t="shared" si="47"/>
        <v>57.127289746229252</v>
      </c>
      <c r="AO74" s="307">
        <f t="shared" si="47"/>
        <v>58.127289746229252</v>
      </c>
      <c r="AP74" s="307">
        <f t="shared" si="47"/>
        <v>47.127289746229252</v>
      </c>
      <c r="AQ74" s="307">
        <f t="shared" si="47"/>
        <v>38.127289746229252</v>
      </c>
      <c r="AR74" s="307">
        <f t="shared" si="47"/>
        <v>26.127289746229252</v>
      </c>
      <c r="AS74" s="307">
        <f t="shared" si="47"/>
        <v>18.127289746229252</v>
      </c>
      <c r="AT74" s="309">
        <f t="array" ref="AT74">10*LOG10(SUM(10^(AL74:AS74/10)))</f>
        <v>64.300876629915095</v>
      </c>
      <c r="AU74" s="309">
        <f t="array" ref="AU74">10*LOG10(SUM(10^((AL74:AS74+$AL$128:$AS$128)/10)))</f>
        <v>56.635787087896823</v>
      </c>
    </row>
    <row r="76" spans="2:49" ht="14.25" thickBot="1" x14ac:dyDescent="0.3">
      <c r="B76" s="6" t="s">
        <v>312</v>
      </c>
      <c r="AL76" s="24" t="str">
        <f t="shared" ref="AL76:AS76" si="48">I78</f>
        <v>63 Hz</v>
      </c>
      <c r="AM76" s="24" t="str">
        <f t="shared" si="48"/>
        <v>125 Hz</v>
      </c>
      <c r="AN76" s="24" t="str">
        <f t="shared" si="48"/>
        <v>250 Hz</v>
      </c>
      <c r="AO76" s="24" t="str">
        <f t="shared" si="48"/>
        <v>500 Hz</v>
      </c>
      <c r="AP76" s="24" t="str">
        <f t="shared" si="48"/>
        <v>1 kHz</v>
      </c>
      <c r="AQ76" s="24" t="str">
        <f t="shared" si="48"/>
        <v>2 kHz</v>
      </c>
      <c r="AR76" s="24" t="str">
        <f t="shared" si="48"/>
        <v>4 kHz</v>
      </c>
      <c r="AS76" s="24" t="str">
        <f t="shared" si="48"/>
        <v>8 kHz</v>
      </c>
    </row>
    <row r="77" spans="2:49" ht="15.75" x14ac:dyDescent="0.3">
      <c r="B77" s="605" t="s">
        <v>0</v>
      </c>
      <c r="C77" s="606"/>
      <c r="D77" s="607"/>
      <c r="E77" s="587" t="s">
        <v>2</v>
      </c>
      <c r="F77" s="588"/>
      <c r="G77" s="589"/>
      <c r="H77" s="576" t="s">
        <v>174</v>
      </c>
      <c r="I77" s="587" t="s">
        <v>175</v>
      </c>
      <c r="J77" s="588"/>
      <c r="K77" s="588"/>
      <c r="L77" s="588"/>
      <c r="M77" s="588"/>
      <c r="N77" s="588"/>
      <c r="O77" s="588"/>
      <c r="P77" s="589"/>
      <c r="Q77" s="591" t="s">
        <v>176</v>
      </c>
      <c r="R77" s="576" t="s">
        <v>177</v>
      </c>
      <c r="AC77" t="s">
        <v>313</v>
      </c>
      <c r="AK77" s="571" t="s">
        <v>173</v>
      </c>
      <c r="AL77" s="283">
        <f t="shared" ref="AL77:AL92" si="49">I80-$R80</f>
        <v>3.8394670919883822</v>
      </c>
      <c r="AM77" s="284">
        <f t="shared" ref="AM77:AM92" si="50">J80-$R80</f>
        <v>-0.12150646227897255</v>
      </c>
      <c r="AN77" s="284">
        <f t="shared" ref="AN77:AN92" si="51">K80-$R80</f>
        <v>-1.0809527212788623</v>
      </c>
      <c r="AO77" s="284">
        <f t="shared" ref="AO77:AO92" si="52">L80-$R80</f>
        <v>-0.94387301295898851</v>
      </c>
      <c r="AP77" s="284">
        <f t="shared" ref="AP77:AP92" si="53">M80-$R80</f>
        <v>-7.8818595424355635</v>
      </c>
      <c r="AQ77" s="284">
        <f t="shared" ref="AQ77:AQ92" si="54">N80-$R80</f>
        <v>-7.1915689955832818</v>
      </c>
      <c r="AR77" s="284">
        <f t="shared" ref="AR77:AR92" si="55">O80-$R80</f>
        <v>-11.243286053432257</v>
      </c>
      <c r="AS77" s="285">
        <f t="shared" ref="AS77:AS92" si="56">P80-$R80</f>
        <v>-21.985554807138783</v>
      </c>
    </row>
    <row r="78" spans="2:49" ht="14.25" x14ac:dyDescent="0.3">
      <c r="B78" s="599" t="s">
        <v>305</v>
      </c>
      <c r="C78" s="601" t="s">
        <v>306</v>
      </c>
      <c r="D78" s="603" t="s">
        <v>307</v>
      </c>
      <c r="E78" s="595" t="s">
        <v>178</v>
      </c>
      <c r="F78" s="597" t="s">
        <v>179</v>
      </c>
      <c r="G78" s="583" t="s">
        <v>304</v>
      </c>
      <c r="H78" s="590"/>
      <c r="I78" s="585" t="s">
        <v>162</v>
      </c>
      <c r="J78" s="578" t="s">
        <v>163</v>
      </c>
      <c r="K78" s="578" t="s">
        <v>164</v>
      </c>
      <c r="L78" s="578" t="s">
        <v>165</v>
      </c>
      <c r="M78" s="578" t="s">
        <v>166</v>
      </c>
      <c r="N78" s="578" t="s">
        <v>167</v>
      </c>
      <c r="O78" s="578" t="s">
        <v>168</v>
      </c>
      <c r="P78" s="580" t="s">
        <v>169</v>
      </c>
      <c r="Q78" s="592"/>
      <c r="R78" s="590"/>
      <c r="AC78" s="121" t="s">
        <v>314</v>
      </c>
      <c r="AK78" s="572"/>
      <c r="AL78" s="286">
        <f t="shared" si="49"/>
        <v>1.5171505117848056</v>
      </c>
      <c r="AM78" s="130">
        <f t="shared" si="50"/>
        <v>-0.97758206880087073</v>
      </c>
      <c r="AN78" s="130">
        <f t="shared" si="51"/>
        <v>-0.47869268217576177</v>
      </c>
      <c r="AO78" s="130">
        <f t="shared" si="52"/>
        <v>-0.73124969570164922</v>
      </c>
      <c r="AP78" s="130">
        <f t="shared" si="53"/>
        <v>-7.2490906893679181</v>
      </c>
      <c r="AQ78" s="130">
        <f t="shared" si="54"/>
        <v>-8.092068622546293</v>
      </c>
      <c r="AR78" s="130">
        <f t="shared" si="55"/>
        <v>-11.878874286748633</v>
      </c>
      <c r="AS78" s="287">
        <f t="shared" si="56"/>
        <v>-22.543284342193893</v>
      </c>
    </row>
    <row r="79" spans="2:49" x14ac:dyDescent="0.25">
      <c r="B79" s="600"/>
      <c r="C79" s="602"/>
      <c r="D79" s="604"/>
      <c r="E79" s="596"/>
      <c r="F79" s="598"/>
      <c r="G79" s="584"/>
      <c r="H79" s="577"/>
      <c r="I79" s="586"/>
      <c r="J79" s="579"/>
      <c r="K79" s="579"/>
      <c r="L79" s="579"/>
      <c r="M79" s="579"/>
      <c r="N79" s="579"/>
      <c r="O79" s="579"/>
      <c r="P79" s="581"/>
      <c r="Q79" s="593"/>
      <c r="R79" s="594"/>
      <c r="AG79" t="s">
        <v>320</v>
      </c>
      <c r="AK79" s="572"/>
      <c r="AL79" s="286">
        <f t="shared" si="49"/>
        <v>1.6174368346911336</v>
      </c>
      <c r="AM79" s="130">
        <f t="shared" si="50"/>
        <v>-1.0620632986553886</v>
      </c>
      <c r="AN79" s="130">
        <f t="shared" si="51"/>
        <v>-0.90039568930068015</v>
      </c>
      <c r="AO79" s="130">
        <f t="shared" si="52"/>
        <v>0.53817003342913949</v>
      </c>
      <c r="AP79" s="130">
        <f t="shared" si="53"/>
        <v>-9.1285768731377743</v>
      </c>
      <c r="AQ79" s="130">
        <f t="shared" si="54"/>
        <v>-9.0402897299021845</v>
      </c>
      <c r="AR79" s="130">
        <f t="shared" si="55"/>
        <v>-12.988474784394491</v>
      </c>
      <c r="AS79" s="287">
        <f t="shared" si="56"/>
        <v>-24.11554177488464</v>
      </c>
    </row>
    <row r="80" spans="2:49" ht="15.75" thickBot="1" x14ac:dyDescent="0.35">
      <c r="B80" s="255">
        <v>100</v>
      </c>
      <c r="C80" s="256">
        <v>151.60670265979553</v>
      </c>
      <c r="D80" s="257">
        <v>100.6872069126761</v>
      </c>
      <c r="E80" s="252">
        <v>100</v>
      </c>
      <c r="F80" s="333">
        <v>157.07133430005098</v>
      </c>
      <c r="G80" s="254">
        <v>101.76263837614924</v>
      </c>
      <c r="H80" s="258">
        <v>184.60732166424987</v>
      </c>
      <c r="I80" s="259">
        <v>77.327507480226444</v>
      </c>
      <c r="J80" s="253">
        <v>73.366533925959089</v>
      </c>
      <c r="K80" s="253">
        <v>72.4070876669592</v>
      </c>
      <c r="L80" s="253">
        <v>72.544167375279073</v>
      </c>
      <c r="M80" s="253">
        <v>65.606180845802498</v>
      </c>
      <c r="N80" s="253">
        <v>66.29647139265478</v>
      </c>
      <c r="O80" s="253">
        <v>62.244754334805805</v>
      </c>
      <c r="P80" s="254">
        <v>51.502485581099279</v>
      </c>
      <c r="Q80" s="260">
        <v>80.822158827046891</v>
      </c>
      <c r="R80" s="336">
        <v>73.488040388238062</v>
      </c>
      <c r="AC80" s="166" t="s">
        <v>315</v>
      </c>
      <c r="AD80" s="166" t="s">
        <v>6</v>
      </c>
      <c r="AE80" s="166" t="s">
        <v>7</v>
      </c>
      <c r="AG80" s="166" t="s">
        <v>301</v>
      </c>
      <c r="AH80" s="166" t="s">
        <v>185</v>
      </c>
      <c r="AK80" s="582"/>
      <c r="AL80" s="288">
        <f t="shared" si="49"/>
        <v>-0.30076969332323245</v>
      </c>
      <c r="AM80" s="289">
        <f t="shared" si="50"/>
        <v>-2.0573956848148924</v>
      </c>
      <c r="AN80" s="289">
        <f t="shared" si="51"/>
        <v>-2.5853492247590282</v>
      </c>
      <c r="AO80" s="289">
        <f t="shared" si="52"/>
        <v>1.4579880706146326</v>
      </c>
      <c r="AP80" s="289">
        <f t="shared" si="53"/>
        <v>-8.8879037420717282</v>
      </c>
      <c r="AQ80" s="289">
        <f t="shared" si="54"/>
        <v>-11.011530349912249</v>
      </c>
      <c r="AR80" s="289">
        <f t="shared" si="55"/>
        <v>-15.419291566823141</v>
      </c>
      <c r="AS80" s="290">
        <f t="shared" si="56"/>
        <v>-26.583036280694735</v>
      </c>
      <c r="AT80" s="10"/>
      <c r="AU80" s="10"/>
    </row>
    <row r="81" spans="2:47" x14ac:dyDescent="0.25">
      <c r="B81" s="264">
        <v>100</v>
      </c>
      <c r="C81" s="265">
        <v>135.79214407635675</v>
      </c>
      <c r="D81" s="266">
        <v>231.27661330395202</v>
      </c>
      <c r="E81" s="261">
        <v>100</v>
      </c>
      <c r="F81" s="334">
        <v>143.34522357105402</v>
      </c>
      <c r="G81" s="263">
        <v>230.08053625398486</v>
      </c>
      <c r="H81" s="267">
        <v>184.64163694107236</v>
      </c>
      <c r="I81" s="268">
        <v>75.073482132531353</v>
      </c>
      <c r="J81" s="262">
        <v>72.578749551945677</v>
      </c>
      <c r="K81" s="262">
        <v>73.077638938570786</v>
      </c>
      <c r="L81" s="262">
        <v>72.825081925044898</v>
      </c>
      <c r="M81" s="262">
        <v>66.30724093137863</v>
      </c>
      <c r="N81" s="262">
        <v>65.464262998200255</v>
      </c>
      <c r="O81" s="262">
        <v>61.677457333997914</v>
      </c>
      <c r="P81" s="263">
        <v>51.013047278552655</v>
      </c>
      <c r="Q81" s="269">
        <v>79.962390915958991</v>
      </c>
      <c r="R81" s="337">
        <v>73.556331620746548</v>
      </c>
      <c r="AC81" s="166">
        <v>10</v>
      </c>
      <c r="AD81" s="166">
        <f t="array" ref="AD81:AE81">LINEST(R80:R83,F80:F83)</f>
        <v>-6.852779825589414E-2</v>
      </c>
      <c r="AE81" s="166">
        <v>83.775427476301459</v>
      </c>
      <c r="AG81" s="279">
        <f>AG57</f>
        <v>150.57772069495383</v>
      </c>
      <c r="AH81" s="130">
        <f>AD81*AG81+AE81</f>
        <v>73.456667810685289</v>
      </c>
      <c r="AK81" s="571" t="s">
        <v>221</v>
      </c>
      <c r="AL81" s="283">
        <f t="shared" si="49"/>
        <v>2.859217301572599</v>
      </c>
      <c r="AM81" s="284">
        <f t="shared" si="50"/>
        <v>0.89166356470448704</v>
      </c>
      <c r="AN81" s="284">
        <f t="shared" si="51"/>
        <v>6.8557405215614153E-2</v>
      </c>
      <c r="AO81" s="284">
        <f t="shared" si="52"/>
        <v>-0.46680836337068854</v>
      </c>
      <c r="AP81" s="284">
        <f t="shared" si="53"/>
        <v>-7.9742133831159521</v>
      </c>
      <c r="AQ81" s="284">
        <f t="shared" si="54"/>
        <v>-7.8120039320964594</v>
      </c>
      <c r="AR81" s="284">
        <f t="shared" si="55"/>
        <v>-12.316001961456379</v>
      </c>
      <c r="AS81" s="285">
        <f t="shared" si="56"/>
        <v>-23.434791375517989</v>
      </c>
      <c r="AT81" s="10"/>
      <c r="AU81" s="10"/>
    </row>
    <row r="82" spans="2:47" x14ac:dyDescent="0.25">
      <c r="B82" s="264">
        <v>100</v>
      </c>
      <c r="C82" s="265">
        <v>120.59381151376923</v>
      </c>
      <c r="D82" s="266">
        <v>348.6582190810559</v>
      </c>
      <c r="E82" s="261">
        <v>100</v>
      </c>
      <c r="F82" s="334">
        <v>129.19223463872049</v>
      </c>
      <c r="G82" s="263">
        <v>346.36815924371012</v>
      </c>
      <c r="H82" s="267">
        <v>184.6770194134032</v>
      </c>
      <c r="I82" s="268">
        <v>75.989711955727472</v>
      </c>
      <c r="J82" s="262">
        <v>73.31021182238095</v>
      </c>
      <c r="K82" s="262">
        <v>73.471879431735658</v>
      </c>
      <c r="L82" s="262">
        <v>74.910445154465478</v>
      </c>
      <c r="M82" s="262">
        <v>65.243698247898564</v>
      </c>
      <c r="N82" s="262">
        <v>65.331985391134154</v>
      </c>
      <c r="O82" s="262">
        <v>61.383800336641848</v>
      </c>
      <c r="P82" s="263">
        <v>50.256733346151698</v>
      </c>
      <c r="Q82" s="269">
        <v>80.885123745582277</v>
      </c>
      <c r="R82" s="337">
        <v>74.372275121036338</v>
      </c>
      <c r="AC82" s="166">
        <v>8</v>
      </c>
      <c r="AD82" s="166">
        <f t="array" ref="AD82:AE82">LINEST(R84:R87,F84:F87)</f>
        <v>-0.12679309132492911</v>
      </c>
      <c r="AE82" s="166">
        <v>86.767218720151803</v>
      </c>
      <c r="AG82" s="279">
        <f t="shared" ref="AG82:AG84" si="57">AG58</f>
        <v>128.16693998999935</v>
      </c>
      <c r="AH82" s="130">
        <f t="shared" ref="AH82:AH84" si="58">AD82*AG82+AE82</f>
        <v>70.516536193163105</v>
      </c>
      <c r="AK82" s="572"/>
      <c r="AL82" s="286">
        <f t="shared" si="49"/>
        <v>0.18539903088503706</v>
      </c>
      <c r="AM82" s="130">
        <f t="shared" si="50"/>
        <v>0.89196176022542772</v>
      </c>
      <c r="AN82" s="130">
        <f t="shared" si="51"/>
        <v>2.0732320636210915</v>
      </c>
      <c r="AO82" s="130">
        <f t="shared" si="52"/>
        <v>-0.37808226607749873</v>
      </c>
      <c r="AP82" s="130">
        <f t="shared" si="53"/>
        <v>-8.1332046384084222</v>
      </c>
      <c r="AQ82" s="130">
        <f t="shared" si="54"/>
        <v>-8.558005057072684</v>
      </c>
      <c r="AR82" s="130">
        <f t="shared" si="55"/>
        <v>-13.041476412179591</v>
      </c>
      <c r="AS82" s="287">
        <f t="shared" si="56"/>
        <v>-24.086789393565212</v>
      </c>
      <c r="AT82" s="10"/>
      <c r="AU82" s="10"/>
    </row>
    <row r="83" spans="2:47" x14ac:dyDescent="0.25">
      <c r="B83" s="273">
        <v>100</v>
      </c>
      <c r="C83" s="274">
        <v>104.87640887979911</v>
      </c>
      <c r="D83" s="275">
        <v>463.1557108612277</v>
      </c>
      <c r="E83" s="270">
        <v>100</v>
      </c>
      <c r="F83" s="335">
        <v>112.84136436101015</v>
      </c>
      <c r="G83" s="272">
        <v>466.6628614098309</v>
      </c>
      <c r="H83" s="276">
        <v>184.71789658909748</v>
      </c>
      <c r="I83" s="277">
        <v>76.211378167938861</v>
      </c>
      <c r="J83" s="271">
        <v>74.454752176447201</v>
      </c>
      <c r="K83" s="271">
        <v>73.926798636503065</v>
      </c>
      <c r="L83" s="271">
        <v>77.970135931876726</v>
      </c>
      <c r="M83" s="271">
        <v>67.624244119190365</v>
      </c>
      <c r="N83" s="271">
        <v>65.500617511349844</v>
      </c>
      <c r="O83" s="271">
        <v>61.092856294438953</v>
      </c>
      <c r="P83" s="272">
        <v>49.929111580567358</v>
      </c>
      <c r="Q83" s="278">
        <v>82.247147007165879</v>
      </c>
      <c r="R83" s="338">
        <v>76.512147861262093</v>
      </c>
      <c r="AC83" s="166">
        <v>6</v>
      </c>
      <c r="AD83" s="166">
        <f t="array" ref="AD83:AE83">LINEST(R88:R91,F88:F91)</f>
        <v>-0.10593146723806063</v>
      </c>
      <c r="AE83" s="166">
        <v>74.730735313420212</v>
      </c>
      <c r="AG83" s="279">
        <f t="shared" si="57"/>
        <v>92.926642758702698</v>
      </c>
      <c r="AH83" s="130">
        <f t="shared" si="58"/>
        <v>64.886879700483732</v>
      </c>
      <c r="AK83" s="572"/>
      <c r="AL83" s="286">
        <f t="shared" si="49"/>
        <v>-0.74115115147800736</v>
      </c>
      <c r="AM83" s="130">
        <f t="shared" si="50"/>
        <v>-0.42217308427660782</v>
      </c>
      <c r="AN83" s="130">
        <f t="shared" si="51"/>
        <v>-0.52896661596498973</v>
      </c>
      <c r="AO83" s="130">
        <f t="shared" si="52"/>
        <v>1.5078715083188854</v>
      </c>
      <c r="AP83" s="130">
        <f t="shared" si="53"/>
        <v>-9.6948279994603865</v>
      </c>
      <c r="AQ83" s="130">
        <f t="shared" si="54"/>
        <v>-9.8291902095712302</v>
      </c>
      <c r="AR83" s="130">
        <f t="shared" si="55"/>
        <v>-14.799323509772861</v>
      </c>
      <c r="AS83" s="287">
        <f t="shared" si="56"/>
        <v>-26.182916577704148</v>
      </c>
      <c r="AT83" s="10"/>
      <c r="AU83" s="10"/>
    </row>
    <row r="84" spans="2:47" ht="14.25" thickBot="1" x14ac:dyDescent="0.3">
      <c r="B84" s="255">
        <v>80</v>
      </c>
      <c r="C84" s="256">
        <v>128.34956621877168</v>
      </c>
      <c r="D84" s="257">
        <v>71.892030420232345</v>
      </c>
      <c r="E84" s="252">
        <v>80</v>
      </c>
      <c r="F84" s="333">
        <v>133.48734200953754</v>
      </c>
      <c r="G84" s="254">
        <v>74.166449167676646</v>
      </c>
      <c r="H84" s="258">
        <v>122.90595671819086</v>
      </c>
      <c r="I84" s="259">
        <v>73.32412129461035</v>
      </c>
      <c r="J84" s="253">
        <v>71.356567557742238</v>
      </c>
      <c r="K84" s="253">
        <v>70.533461398253365</v>
      </c>
      <c r="L84" s="253">
        <v>69.998095629667063</v>
      </c>
      <c r="M84" s="253">
        <v>62.490690609921799</v>
      </c>
      <c r="N84" s="253">
        <v>62.652900060941292</v>
      </c>
      <c r="O84" s="253">
        <v>58.148902031581372</v>
      </c>
      <c r="P84" s="254">
        <v>47.030112617519762</v>
      </c>
      <c r="Q84" s="260">
        <v>77.838154881804542</v>
      </c>
      <c r="R84" s="336">
        <v>70.464903993037751</v>
      </c>
      <c r="AC84" s="166">
        <v>4</v>
      </c>
      <c r="AD84" s="166">
        <f t="array" ref="AD84:AE84">LINEST(R92:R95,F92:F95)</f>
        <v>-0.2210030982295931</v>
      </c>
      <c r="AE84" s="166">
        <v>68.989133699297994</v>
      </c>
      <c r="AG84" s="279">
        <f t="shared" si="57"/>
        <v>58.763814207834933</v>
      </c>
      <c r="AH84" s="130">
        <f t="shared" si="58"/>
        <v>56.002148695578292</v>
      </c>
      <c r="AK84" s="582"/>
      <c r="AL84" s="288">
        <f t="shared" si="49"/>
        <v>-2.5888026403213047</v>
      </c>
      <c r="AM84" s="289">
        <f t="shared" si="50"/>
        <v>-3.2741331673892944</v>
      </c>
      <c r="AN84" s="289">
        <f t="shared" si="51"/>
        <v>-3.0408037803399708</v>
      </c>
      <c r="AO84" s="289">
        <f t="shared" si="52"/>
        <v>2.9758166764733289</v>
      </c>
      <c r="AP84" s="289">
        <f t="shared" si="53"/>
        <v>-11.97694971558591</v>
      </c>
      <c r="AQ84" s="289">
        <f t="shared" si="54"/>
        <v>-13.091089148888685</v>
      </c>
      <c r="AR84" s="289">
        <f t="shared" si="55"/>
        <v>-18.101487729733613</v>
      </c>
      <c r="AS84" s="290">
        <f t="shared" si="56"/>
        <v>-29.730057707545754</v>
      </c>
      <c r="AT84" s="10"/>
      <c r="AU84" s="10"/>
    </row>
    <row r="85" spans="2:47" x14ac:dyDescent="0.25">
      <c r="B85" s="264">
        <v>80</v>
      </c>
      <c r="C85" s="265">
        <v>115.70759611395603</v>
      </c>
      <c r="D85" s="266">
        <v>167.96197095470208</v>
      </c>
      <c r="E85" s="261">
        <v>80</v>
      </c>
      <c r="F85" s="334">
        <v>121.94822345460111</v>
      </c>
      <c r="G85" s="263">
        <v>170.71257675905628</v>
      </c>
      <c r="H85" s="267">
        <v>123.99914241641258</v>
      </c>
      <c r="I85" s="268">
        <v>71.002487445730665</v>
      </c>
      <c r="J85" s="262">
        <v>71.709050175071056</v>
      </c>
      <c r="K85" s="262">
        <v>72.89032047846672</v>
      </c>
      <c r="L85" s="262">
        <v>70.439006148768129</v>
      </c>
      <c r="M85" s="262">
        <v>62.683883776437206</v>
      </c>
      <c r="N85" s="262">
        <v>62.259083357772944</v>
      </c>
      <c r="O85" s="262">
        <v>57.775612002666037</v>
      </c>
      <c r="P85" s="263">
        <v>46.730299021280416</v>
      </c>
      <c r="Q85" s="269">
        <v>77.932380392715345</v>
      </c>
      <c r="R85" s="337">
        <v>70.817088414845628</v>
      </c>
      <c r="AK85" s="571" t="s">
        <v>172</v>
      </c>
      <c r="AL85" s="283">
        <f t="shared" si="49"/>
        <v>2.5429169736645747</v>
      </c>
      <c r="AM85" s="284">
        <f t="shared" si="50"/>
        <v>1.934650829076844</v>
      </c>
      <c r="AN85" s="284">
        <f t="shared" si="51"/>
        <v>2.3346520110304994</v>
      </c>
      <c r="AO85" s="284">
        <f t="shared" si="52"/>
        <v>-0.87690407506745771</v>
      </c>
      <c r="AP85" s="284">
        <f t="shared" si="53"/>
        <v>-7.0086062603996524</v>
      </c>
      <c r="AQ85" s="284">
        <f t="shared" si="54"/>
        <v>-8.8647474491065239</v>
      </c>
      <c r="AR85" s="284">
        <f t="shared" si="55"/>
        <v>-14.71953308294971</v>
      </c>
      <c r="AS85" s="285">
        <f t="shared" si="56"/>
        <v>-27.842087721485285</v>
      </c>
      <c r="AT85" s="10"/>
      <c r="AU85" s="10"/>
    </row>
    <row r="86" spans="2:47" x14ac:dyDescent="0.25">
      <c r="B86" s="264">
        <v>80</v>
      </c>
      <c r="C86" s="265">
        <v>102.57331653864257</v>
      </c>
      <c r="D86" s="266">
        <v>253.93326417263819</v>
      </c>
      <c r="E86" s="261">
        <v>80</v>
      </c>
      <c r="F86" s="334">
        <v>109.49508090714585</v>
      </c>
      <c r="G86" s="263">
        <v>257.31785855550811</v>
      </c>
      <c r="H86" s="267">
        <v>124.19294948328056</v>
      </c>
      <c r="I86" s="268">
        <v>71.411523972717504</v>
      </c>
      <c r="J86" s="262">
        <v>71.730502039918903</v>
      </c>
      <c r="K86" s="262">
        <v>71.623708508230521</v>
      </c>
      <c r="L86" s="262">
        <v>73.660546632514396</v>
      </c>
      <c r="M86" s="262">
        <v>62.457847124735125</v>
      </c>
      <c r="N86" s="262">
        <v>62.323484914624281</v>
      </c>
      <c r="O86" s="262">
        <v>57.35335161442265</v>
      </c>
      <c r="P86" s="263">
        <v>45.969758546491363</v>
      </c>
      <c r="Q86" s="269">
        <v>78.485057851598654</v>
      </c>
      <c r="R86" s="337">
        <v>72.152675124195511</v>
      </c>
      <c r="AC86" t="s">
        <v>317</v>
      </c>
      <c r="AK86" s="572"/>
      <c r="AL86" s="286">
        <f t="shared" si="49"/>
        <v>3.2237493176545939</v>
      </c>
      <c r="AM86" s="130">
        <f t="shared" si="50"/>
        <v>3.1201428308037293</v>
      </c>
      <c r="AN86" s="130">
        <f t="shared" si="51"/>
        <v>3.6376803981201107</v>
      </c>
      <c r="AO86" s="130">
        <f t="shared" si="52"/>
        <v>-2.4964986519681318</v>
      </c>
      <c r="AP86" s="130">
        <f t="shared" si="53"/>
        <v>-7.546931206597705</v>
      </c>
      <c r="AQ86" s="130">
        <f t="shared" si="54"/>
        <v>-8.9397313306229478</v>
      </c>
      <c r="AR86" s="130">
        <f t="shared" si="55"/>
        <v>-14.872710485363235</v>
      </c>
      <c r="AS86" s="287">
        <f t="shared" si="56"/>
        <v>-27.648468835708059</v>
      </c>
      <c r="AT86" s="10"/>
      <c r="AU86" s="10"/>
    </row>
    <row r="87" spans="2:47" ht="14.25" x14ac:dyDescent="0.3">
      <c r="B87" s="273">
        <v>80</v>
      </c>
      <c r="C87" s="274">
        <v>88.81271353629279</v>
      </c>
      <c r="D87" s="275">
        <v>333.92244854797298</v>
      </c>
      <c r="E87" s="270">
        <v>80</v>
      </c>
      <c r="F87" s="335">
        <v>94.620434367922911</v>
      </c>
      <c r="G87" s="272">
        <v>346.36903071169007</v>
      </c>
      <c r="H87" s="276">
        <v>123.08302121416438</v>
      </c>
      <c r="I87" s="277">
        <v>72.777502559570834</v>
      </c>
      <c r="J87" s="271">
        <v>72.092172032502845</v>
      </c>
      <c r="K87" s="271">
        <v>72.325501419552168</v>
      </c>
      <c r="L87" s="271">
        <v>78.342121876365468</v>
      </c>
      <c r="M87" s="271">
        <v>63.389355484306229</v>
      </c>
      <c r="N87" s="271">
        <v>62.275216051003454</v>
      </c>
      <c r="O87" s="271">
        <v>57.264817470158526</v>
      </c>
      <c r="P87" s="272">
        <v>45.636247492346385</v>
      </c>
      <c r="Q87" s="278">
        <v>80.966841612480721</v>
      </c>
      <c r="R87" s="338">
        <v>75.366305199892139</v>
      </c>
      <c r="AC87" s="121" t="s">
        <v>318</v>
      </c>
      <c r="AK87" s="572"/>
      <c r="AL87" s="286">
        <f t="shared" si="49"/>
        <v>0.99893400138907396</v>
      </c>
      <c r="AM87" s="130">
        <f t="shared" si="50"/>
        <v>2.0522252481375887</v>
      </c>
      <c r="AN87" s="130">
        <f t="shared" si="51"/>
        <v>4.1940485160078538</v>
      </c>
      <c r="AO87" s="130">
        <f t="shared" si="52"/>
        <v>-2.8201044358592213</v>
      </c>
      <c r="AP87" s="130">
        <f t="shared" si="53"/>
        <v>-7.5898571839431881</v>
      </c>
      <c r="AQ87" s="130">
        <f t="shared" si="54"/>
        <v>-10.344631021771846</v>
      </c>
      <c r="AR87" s="130">
        <f t="shared" si="55"/>
        <v>-16.319426513599623</v>
      </c>
      <c r="AS87" s="287">
        <f t="shared" si="56"/>
        <v>-29.130517456782599</v>
      </c>
      <c r="AT87" s="10"/>
      <c r="AU87" s="10"/>
    </row>
    <row r="88" spans="2:47" ht="16.5" thickBot="1" x14ac:dyDescent="0.35">
      <c r="B88" s="255">
        <v>60</v>
      </c>
      <c r="C88" s="256">
        <v>89.259188354640628</v>
      </c>
      <c r="D88" s="257">
        <v>36.47429329283343</v>
      </c>
      <c r="E88" s="252">
        <v>60</v>
      </c>
      <c r="F88" s="333">
        <v>96.307031540483251</v>
      </c>
      <c r="G88" s="254">
        <v>40.046752028618322</v>
      </c>
      <c r="H88" s="258">
        <v>58.787488287850991</v>
      </c>
      <c r="I88" s="259">
        <v>67.601974324803521</v>
      </c>
      <c r="J88" s="253">
        <v>66.993708180215791</v>
      </c>
      <c r="K88" s="253">
        <v>67.393709362169446</v>
      </c>
      <c r="L88" s="253">
        <v>64.182153276071489</v>
      </c>
      <c r="M88" s="253">
        <v>58.050451090739294</v>
      </c>
      <c r="N88" s="253">
        <v>56.194309902032423</v>
      </c>
      <c r="O88" s="253">
        <v>50.339524268189237</v>
      </c>
      <c r="P88" s="254">
        <v>37.216969629653661</v>
      </c>
      <c r="Q88" s="260">
        <v>73.018245080028578</v>
      </c>
      <c r="R88" s="336">
        <v>65.059057351138947</v>
      </c>
      <c r="AC88" s="121" t="s">
        <v>319</v>
      </c>
      <c r="AF88" s="5"/>
      <c r="AK88" s="572"/>
      <c r="AL88" s="288">
        <f t="shared" si="49"/>
        <v>-0.51787388725368544</v>
      </c>
      <c r="AM88" s="289">
        <f t="shared" si="50"/>
        <v>1.2053427705595681</v>
      </c>
      <c r="AN88" s="289">
        <f t="shared" si="51"/>
        <v>5.3773279302630641</v>
      </c>
      <c r="AO88" s="289">
        <f t="shared" si="52"/>
        <v>-3.7019818516494354</v>
      </c>
      <c r="AP88" s="289">
        <f t="shared" si="53"/>
        <v>-10.145454081949822</v>
      </c>
      <c r="AQ88" s="289">
        <f t="shared" si="54"/>
        <v>-12.776447221964503</v>
      </c>
      <c r="AR88" s="289">
        <f t="shared" si="55"/>
        <v>-18.811658666207599</v>
      </c>
      <c r="AS88" s="290">
        <f t="shared" si="56"/>
        <v>-31.338159153564355</v>
      </c>
      <c r="AT88" s="10"/>
      <c r="AU88" s="10"/>
    </row>
    <row r="89" spans="2:47" x14ac:dyDescent="0.25">
      <c r="B89" s="264">
        <v>60</v>
      </c>
      <c r="C89" s="265">
        <v>81.379404178657765</v>
      </c>
      <c r="D89" s="266">
        <v>86.352698567555706</v>
      </c>
      <c r="E89" s="261">
        <v>60</v>
      </c>
      <c r="F89" s="334">
        <v>88.998886231906411</v>
      </c>
      <c r="G89" s="263">
        <v>92.757962677004372</v>
      </c>
      <c r="H89" s="267">
        <v>59.313357355583477</v>
      </c>
      <c r="I89" s="268">
        <v>68.020294986635278</v>
      </c>
      <c r="J89" s="262">
        <v>67.916688499784414</v>
      </c>
      <c r="K89" s="262">
        <v>68.434226067100795</v>
      </c>
      <c r="L89" s="262">
        <v>62.300047017012552</v>
      </c>
      <c r="M89" s="262">
        <v>57.249614462382979</v>
      </c>
      <c r="N89" s="262">
        <v>55.856814338357736</v>
      </c>
      <c r="O89" s="262">
        <v>49.923835183617449</v>
      </c>
      <c r="P89" s="263">
        <v>37.148076833272626</v>
      </c>
      <c r="Q89" s="269">
        <v>73.467363634587414</v>
      </c>
      <c r="R89" s="337">
        <v>64.796545668980684</v>
      </c>
      <c r="AC89" s="166" t="s">
        <v>6</v>
      </c>
      <c r="AD89" s="166" t="s">
        <v>7</v>
      </c>
      <c r="AK89" s="573" t="s">
        <v>171</v>
      </c>
      <c r="AL89" s="291">
        <f t="shared" si="49"/>
        <v>4.2871545274035583</v>
      </c>
      <c r="AM89" s="284">
        <f t="shared" si="50"/>
        <v>4.1552284385368736</v>
      </c>
      <c r="AN89" s="284">
        <f t="shared" si="51"/>
        <v>5.0644419881016987</v>
      </c>
      <c r="AO89" s="284">
        <f t="shared" si="52"/>
        <v>-3.0063204499617626</v>
      </c>
      <c r="AP89" s="284">
        <f t="shared" si="53"/>
        <v>-7.3563649940722371</v>
      </c>
      <c r="AQ89" s="284">
        <f t="shared" si="54"/>
        <v>-10.587767897782065</v>
      </c>
      <c r="AR89" s="284">
        <f t="shared" si="55"/>
        <v>-17.334461646783311</v>
      </c>
      <c r="AS89" s="285">
        <f t="shared" si="56"/>
        <v>-31.976996880566507</v>
      </c>
      <c r="AT89" s="10"/>
      <c r="AU89" s="10"/>
    </row>
    <row r="90" spans="2:47" x14ac:dyDescent="0.25">
      <c r="B90" s="264">
        <v>60</v>
      </c>
      <c r="C90" s="265">
        <v>72.922634179548311</v>
      </c>
      <c r="D90" s="266">
        <v>131.73618119038406</v>
      </c>
      <c r="E90" s="261">
        <v>60</v>
      </c>
      <c r="F90" s="334">
        <v>80.416957080027231</v>
      </c>
      <c r="G90" s="263">
        <v>140.16724837444886</v>
      </c>
      <c r="H90" s="267">
        <v>59.549054558233536</v>
      </c>
      <c r="I90" s="268">
        <v>66.802331561150638</v>
      </c>
      <c r="J90" s="262">
        <v>67.855622807899152</v>
      </c>
      <c r="K90" s="262">
        <v>69.997446075769417</v>
      </c>
      <c r="L90" s="262">
        <v>62.983293123902342</v>
      </c>
      <c r="M90" s="262">
        <v>58.213540375818376</v>
      </c>
      <c r="N90" s="262">
        <v>55.458766537989717</v>
      </c>
      <c r="O90" s="262">
        <v>49.48397104616194</v>
      </c>
      <c r="P90" s="263">
        <v>36.672880102978965</v>
      </c>
      <c r="Q90" s="269">
        <v>73.798767368476661</v>
      </c>
      <c r="R90" s="337">
        <v>65.803397559761564</v>
      </c>
      <c r="AC90" s="280">
        <f t="array" ref="AC90:AD90">LINEST(AH81:AH84,LN(AG81:AG84))</f>
        <v>18.507934784828162</v>
      </c>
      <c r="AD90" s="280">
        <v>-19.259404173610093</v>
      </c>
      <c r="AK90" s="574"/>
      <c r="AL90" s="292">
        <f t="shared" si="49"/>
        <v>6.0298589222031254</v>
      </c>
      <c r="AM90" s="130">
        <f t="shared" si="50"/>
        <v>5.114418318931321</v>
      </c>
      <c r="AN90" s="130">
        <f t="shared" si="51"/>
        <v>6.0360548170911628</v>
      </c>
      <c r="AO90" s="130">
        <f t="shared" si="52"/>
        <v>-3.6411073650860075</v>
      </c>
      <c r="AP90" s="130">
        <f t="shared" si="53"/>
        <v>-8.0795126552352272</v>
      </c>
      <c r="AQ90" s="130">
        <f t="shared" si="54"/>
        <v>-11.374793506484117</v>
      </c>
      <c r="AR90" s="130">
        <f t="shared" si="55"/>
        <v>-18.763720681933471</v>
      </c>
      <c r="AS90" s="287">
        <f t="shared" si="56"/>
        <v>-32.449488002277363</v>
      </c>
      <c r="AT90" s="10"/>
      <c r="AU90" s="10"/>
    </row>
    <row r="91" spans="2:47" x14ac:dyDescent="0.25">
      <c r="B91" s="273">
        <v>60</v>
      </c>
      <c r="C91" s="274">
        <v>63.826826560394871</v>
      </c>
      <c r="D91" s="275">
        <v>174.53058850218136</v>
      </c>
      <c r="E91" s="270">
        <v>60</v>
      </c>
      <c r="F91" s="335">
        <v>69.813714968862342</v>
      </c>
      <c r="G91" s="272">
        <v>188.06484039847919</v>
      </c>
      <c r="H91" s="276">
        <v>59.270675785874637</v>
      </c>
      <c r="I91" s="277">
        <v>67.202183514722577</v>
      </c>
      <c r="J91" s="271">
        <v>68.925400172535831</v>
      </c>
      <c r="K91" s="271">
        <v>73.097385332239327</v>
      </c>
      <c r="L91" s="271">
        <v>64.018075550326827</v>
      </c>
      <c r="M91" s="271">
        <v>57.574603320026441</v>
      </c>
      <c r="N91" s="271">
        <v>54.94361018001176</v>
      </c>
      <c r="O91" s="271">
        <v>48.908398735768664</v>
      </c>
      <c r="P91" s="272">
        <v>36.381898248411908</v>
      </c>
      <c r="Q91" s="278">
        <v>75.676441355825077</v>
      </c>
      <c r="R91" s="338">
        <v>67.720057401976263</v>
      </c>
      <c r="AF91" s="281"/>
      <c r="AK91" s="574"/>
      <c r="AL91" s="292">
        <f t="shared" si="49"/>
        <v>6.9894644609511545</v>
      </c>
      <c r="AM91" s="130">
        <f t="shared" si="50"/>
        <v>3.1260673402540888</v>
      </c>
      <c r="AN91" s="130">
        <f t="shared" si="51"/>
        <v>7.3028477523631068</v>
      </c>
      <c r="AO91" s="130">
        <f t="shared" si="52"/>
        <v>-4.6312230971441721</v>
      </c>
      <c r="AP91" s="130">
        <f t="shared" si="53"/>
        <v>-8.9169901401759617</v>
      </c>
      <c r="AQ91" s="130">
        <f t="shared" si="54"/>
        <v>-13.032088206752348</v>
      </c>
      <c r="AR91" s="130">
        <f t="shared" si="55"/>
        <v>-20.449195355257217</v>
      </c>
      <c r="AS91" s="287">
        <f t="shared" si="56"/>
        <v>-33.615912828058057</v>
      </c>
      <c r="AT91" s="10"/>
      <c r="AU91" s="10"/>
    </row>
    <row r="92" spans="2:47" ht="14.25" thickBot="1" x14ac:dyDescent="0.3">
      <c r="B92" s="255">
        <v>40</v>
      </c>
      <c r="C92" s="256">
        <v>53.723936796956735</v>
      </c>
      <c r="D92" s="257">
        <v>12.363758255969145</v>
      </c>
      <c r="E92" s="252">
        <v>40</v>
      </c>
      <c r="F92" s="333">
        <v>61.035386437266624</v>
      </c>
      <c r="G92" s="254">
        <v>17.464650548692372</v>
      </c>
      <c r="H92" s="258">
        <v>26.50694759715989</v>
      </c>
      <c r="I92" s="259">
        <v>59.950061908487541</v>
      </c>
      <c r="J92" s="253">
        <v>59.818135819620856</v>
      </c>
      <c r="K92" s="253">
        <v>60.727349369185681</v>
      </c>
      <c r="L92" s="253">
        <v>52.65658693112222</v>
      </c>
      <c r="M92" s="253">
        <v>48.306542387011746</v>
      </c>
      <c r="N92" s="253">
        <v>45.075139483301918</v>
      </c>
      <c r="O92" s="253">
        <v>38.328445734300672</v>
      </c>
      <c r="P92" s="254">
        <v>23.685910500517476</v>
      </c>
      <c r="Q92" s="260">
        <v>65.341729062188165</v>
      </c>
      <c r="R92" s="336">
        <v>55.662907381083983</v>
      </c>
      <c r="AC92" t="s">
        <v>322</v>
      </c>
      <c r="AK92" s="575"/>
      <c r="AL92" s="293">
        <f t="shared" si="49"/>
        <v>0.47859805790259458</v>
      </c>
      <c r="AM92" s="167">
        <f t="shared" si="50"/>
        <v>2.9119700974247564</v>
      </c>
      <c r="AN92" s="167">
        <f t="shared" si="51"/>
        <v>8.5788415078317897</v>
      </c>
      <c r="AO92" s="167">
        <f t="shared" si="52"/>
        <v>-5.5654501755162116</v>
      </c>
      <c r="AP92" s="167">
        <f t="shared" si="53"/>
        <v>-10.939379934750299</v>
      </c>
      <c r="AQ92" s="167">
        <f t="shared" si="54"/>
        <v>-15.156248136776981</v>
      </c>
      <c r="AR92" s="167">
        <f t="shared" si="55"/>
        <v>-22.677961320846734</v>
      </c>
      <c r="AS92" s="294">
        <f t="shared" si="56"/>
        <v>-35.302593442824922</v>
      </c>
      <c r="AT92" s="10"/>
      <c r="AU92" s="10"/>
    </row>
    <row r="93" spans="2:47" ht="14.25" thickTop="1" x14ac:dyDescent="0.25">
      <c r="B93" s="264">
        <v>40</v>
      </c>
      <c r="C93" s="265">
        <v>49.281364627372071</v>
      </c>
      <c r="D93" s="266">
        <v>31.995962218477239</v>
      </c>
      <c r="E93" s="261">
        <v>40</v>
      </c>
      <c r="F93" s="334">
        <v>57.170637308606381</v>
      </c>
      <c r="G93" s="263">
        <v>37.851465327832074</v>
      </c>
      <c r="H93" s="267">
        <v>26.352369272146785</v>
      </c>
      <c r="I93" s="268">
        <v>62.259118971148965</v>
      </c>
      <c r="J93" s="262">
        <v>61.34367836787716</v>
      </c>
      <c r="K93" s="262">
        <v>62.265314866037002</v>
      </c>
      <c r="L93" s="262">
        <v>52.588152683859832</v>
      </c>
      <c r="M93" s="262">
        <v>48.149747393710612</v>
      </c>
      <c r="N93" s="262">
        <v>44.854466542461722</v>
      </c>
      <c r="O93" s="262">
        <v>37.465539367012369</v>
      </c>
      <c r="P93" s="263">
        <v>23.779772046668477</v>
      </c>
      <c r="Q93" s="269">
        <v>67.000845002799835</v>
      </c>
      <c r="R93" s="337">
        <v>56.229260048945839</v>
      </c>
      <c r="AC93" s="116">
        <f>AC69</f>
        <v>84</v>
      </c>
      <c r="AD93" t="s">
        <v>223</v>
      </c>
      <c r="AE93" s="159" t="s">
        <v>321</v>
      </c>
      <c r="AF93" s="119" t="s">
        <v>185</v>
      </c>
      <c r="AG93" s="282">
        <f>AC90*LN(AC93)+AD90</f>
        <v>62.745864182903034</v>
      </c>
      <c r="AH93" s="6" t="s">
        <v>189</v>
      </c>
      <c r="AI93" t="s">
        <v>183</v>
      </c>
      <c r="AK93" s="295">
        <v>10</v>
      </c>
      <c r="AL93" s="296">
        <f>ROUND(AVERAGE(AL77:AL80),0)</f>
        <v>2</v>
      </c>
      <c r="AM93" s="297">
        <f t="shared" ref="AM93:AN93" si="59">ROUND(AVERAGE(AM77:AM80),0)</f>
        <v>-1</v>
      </c>
      <c r="AN93" s="297">
        <f t="shared" si="59"/>
        <v>-1</v>
      </c>
      <c r="AO93" s="297">
        <f t="shared" ref="AO93:AS93" si="60">ROUND(AVERAGE(AO77:AO80),0)</f>
        <v>0</v>
      </c>
      <c r="AP93" s="297">
        <f t="shared" si="60"/>
        <v>-8</v>
      </c>
      <c r="AQ93" s="297">
        <f t="shared" si="60"/>
        <v>-9</v>
      </c>
      <c r="AR93" s="297">
        <f t="shared" si="60"/>
        <v>-13</v>
      </c>
      <c r="AS93" s="298">
        <f t="shared" si="60"/>
        <v>-24</v>
      </c>
      <c r="AT93" s="3">
        <f t="array" ref="AT93">10*LOG10(SUM(10^((AL93:AS93+$AL$128:$AS$128)/10)))</f>
        <v>9.597249025079994E-3</v>
      </c>
      <c r="AU93" s="10" t="str">
        <f>IF(ABS(AT93)&lt;0.5,"OK","TARKASTA")</f>
        <v>OK</v>
      </c>
    </row>
    <row r="94" spans="2:47" x14ac:dyDescent="0.25">
      <c r="B94" s="264">
        <v>40</v>
      </c>
      <c r="C94" s="265">
        <v>44.548593162599765</v>
      </c>
      <c r="D94" s="266">
        <v>49.596346436794803</v>
      </c>
      <c r="E94" s="261">
        <v>40</v>
      </c>
      <c r="F94" s="334">
        <v>51.85868678326694</v>
      </c>
      <c r="G94" s="263">
        <v>57.478811602521134</v>
      </c>
      <c r="H94" s="267">
        <v>26.115534162779262</v>
      </c>
      <c r="I94" s="268">
        <v>64.36087855986348</v>
      </c>
      <c r="J94" s="262">
        <v>60.497481439166414</v>
      </c>
      <c r="K94" s="262">
        <v>64.674261851275432</v>
      </c>
      <c r="L94" s="262">
        <v>52.740191001768153</v>
      </c>
      <c r="M94" s="262">
        <v>48.454423958736363</v>
      </c>
      <c r="N94" s="262">
        <v>44.339325892159977</v>
      </c>
      <c r="O94" s="262">
        <v>36.922218743655108</v>
      </c>
      <c r="P94" s="263">
        <v>23.755501270854271</v>
      </c>
      <c r="Q94" s="269">
        <v>68.497255038881647</v>
      </c>
      <c r="R94" s="337">
        <v>57.371414098912325</v>
      </c>
      <c r="AK94" s="299">
        <v>8</v>
      </c>
      <c r="AL94" s="300">
        <f>ROUND(AVERAGE(AL81:AL84),0)</f>
        <v>0</v>
      </c>
      <c r="AM94" s="301">
        <f t="shared" ref="AM94:AN94" si="61">ROUND(AVERAGE(AM81:AM84),0)</f>
        <v>0</v>
      </c>
      <c r="AN94" s="301">
        <f t="shared" si="61"/>
        <v>0</v>
      </c>
      <c r="AO94" s="301">
        <f t="shared" ref="AO94:AS94" si="62">ROUND(AVERAGE(AO81:AO84),0)</f>
        <v>1</v>
      </c>
      <c r="AP94" s="301">
        <f t="shared" si="62"/>
        <v>-9</v>
      </c>
      <c r="AQ94" s="301">
        <f t="shared" si="62"/>
        <v>-10</v>
      </c>
      <c r="AR94" s="301">
        <f t="shared" si="62"/>
        <v>-15</v>
      </c>
      <c r="AS94" s="302">
        <f t="shared" si="62"/>
        <v>-26</v>
      </c>
      <c r="AT94" s="3">
        <f t="array" ref="AT94">10*LOG10(SUM(10^((AL94:AS94+$AL$128:$AS$128)/10)))</f>
        <v>0.28173663367855045</v>
      </c>
      <c r="AU94" s="10" t="str">
        <f t="shared" ref="AU94:AU96" si="63">IF(ABS(AT94)&lt;0.5,"OK","TARKASTA")</f>
        <v>OK</v>
      </c>
    </row>
    <row r="95" spans="2:47" x14ac:dyDescent="0.25">
      <c r="B95" s="273">
        <v>40</v>
      </c>
      <c r="C95" s="274">
        <v>39.280098881703758</v>
      </c>
      <c r="D95" s="275">
        <v>66.67165669524698</v>
      </c>
      <c r="E95" s="270">
        <v>40</v>
      </c>
      <c r="F95" s="335">
        <v>44.884292152197567</v>
      </c>
      <c r="G95" s="272">
        <v>77.356604880417976</v>
      </c>
      <c r="H95" s="276">
        <v>25.761733511280866</v>
      </c>
      <c r="I95" s="277">
        <v>59.667155772215708</v>
      </c>
      <c r="J95" s="271">
        <v>62.100527811737869</v>
      </c>
      <c r="K95" s="271">
        <v>67.767399222144903</v>
      </c>
      <c r="L95" s="271">
        <v>53.623107538796901</v>
      </c>
      <c r="M95" s="271">
        <v>48.249177779562814</v>
      </c>
      <c r="N95" s="271">
        <v>44.032309577536132</v>
      </c>
      <c r="O95" s="271">
        <v>36.510596393466379</v>
      </c>
      <c r="P95" s="272">
        <v>23.885964271488191</v>
      </c>
      <c r="Q95" s="278">
        <v>69.472338412974764</v>
      </c>
      <c r="R95" s="338">
        <v>59.188557714313113</v>
      </c>
      <c r="AK95" s="299">
        <v>6</v>
      </c>
      <c r="AL95" s="300">
        <f>ROUND(AVERAGE(AL85:AL88),0)</f>
        <v>2</v>
      </c>
      <c r="AM95" s="301">
        <f t="shared" ref="AM95:AN95" si="64">ROUND(AVERAGE(AM85:AM88),0)</f>
        <v>2</v>
      </c>
      <c r="AN95" s="301">
        <f t="shared" si="64"/>
        <v>4</v>
      </c>
      <c r="AO95" s="301">
        <f t="shared" ref="AO95:AS95" si="65">ROUND(AVERAGE(AO85:AO88),0)</f>
        <v>-2</v>
      </c>
      <c r="AP95" s="301">
        <f t="shared" si="65"/>
        <v>-8</v>
      </c>
      <c r="AQ95" s="301">
        <f t="shared" si="65"/>
        <v>-10</v>
      </c>
      <c r="AR95" s="301">
        <f t="shared" si="65"/>
        <v>-16</v>
      </c>
      <c r="AS95" s="302">
        <f t="shared" si="65"/>
        <v>-29</v>
      </c>
      <c r="AT95" s="3">
        <f t="array" ref="AT95">10*LOG10(SUM(10^((AL95:AS95+$AL$128:$AS$128)/10)))</f>
        <v>6.1893054666798189E-2</v>
      </c>
      <c r="AU95" s="10" t="str">
        <f t="shared" si="63"/>
        <v>OK</v>
      </c>
    </row>
    <row r="96" spans="2:47" ht="14.25" thickBot="1" x14ac:dyDescent="0.3">
      <c r="AK96" s="303">
        <v>4</v>
      </c>
      <c r="AL96" s="304">
        <f>ROUND(AVERAGE(AL89:AL92),0)</f>
        <v>4</v>
      </c>
      <c r="AM96" s="305">
        <f t="shared" ref="AM96" si="66">ROUND(AVERAGE(AM89:AM92),0)</f>
        <v>4</v>
      </c>
      <c r="AN96" s="305">
        <f>ROUND(AVERAGE(AN89:AN91),0)</f>
        <v>6</v>
      </c>
      <c r="AO96" s="305">
        <f t="shared" ref="AO96:AS96" si="67">ROUND(AVERAGE(AO89:AO92),0)</f>
        <v>-4</v>
      </c>
      <c r="AP96" s="305">
        <f t="shared" si="67"/>
        <v>-9</v>
      </c>
      <c r="AQ96" s="305">
        <f t="shared" si="67"/>
        <v>-13</v>
      </c>
      <c r="AR96" s="305">
        <f t="shared" si="67"/>
        <v>-20</v>
      </c>
      <c r="AS96" s="306">
        <f t="shared" si="67"/>
        <v>-33</v>
      </c>
      <c r="AT96" s="3">
        <f t="array" ref="AT96">10*LOG10(SUM(10^((AL96:AS96+$AL$128:$AS$128)/10)))</f>
        <v>5.4860534495638498E-2</v>
      </c>
      <c r="AU96" s="10" t="str">
        <f t="shared" si="63"/>
        <v>OK</v>
      </c>
    </row>
    <row r="97" spans="2:47" x14ac:dyDescent="0.25">
      <c r="AK97" s="310" t="s">
        <v>184</v>
      </c>
      <c r="AL97" s="311" cm="1">
        <f t="array" ref="AL97">INDEX(AL93:AL96,$AW$73)</f>
        <v>2</v>
      </c>
      <c r="AM97" s="311" cm="1">
        <f t="array" ref="AM97">INDEX(AM93:AM96,$AW$73)</f>
        <v>2</v>
      </c>
      <c r="AN97" s="311" cm="1">
        <f t="array" ref="AN97">INDEX(AN93:AN96,$AW$73)</f>
        <v>4</v>
      </c>
      <c r="AO97" s="311" cm="1">
        <f t="array" ref="AO97">INDEX(AO93:AO96,$AW$73)</f>
        <v>-2</v>
      </c>
      <c r="AP97" s="311" cm="1">
        <f t="array" ref="AP97">INDEX(AP93:AP96,$AW$73)</f>
        <v>-8</v>
      </c>
      <c r="AQ97" s="311" cm="1">
        <f t="array" ref="AQ97">INDEX(AQ93:AQ96,$AW$73)</f>
        <v>-10</v>
      </c>
      <c r="AR97" s="311" cm="1">
        <f t="array" ref="AR97">INDEX(AR93:AR96,$AW$73)</f>
        <v>-16</v>
      </c>
      <c r="AS97" s="311" cm="1">
        <f t="array" ref="AS97">INDEX(AS93:AS96,$AW$73)</f>
        <v>-29</v>
      </c>
      <c r="AT97" s="166" t="s">
        <v>188</v>
      </c>
      <c r="AU97" s="130" t="s">
        <v>331</v>
      </c>
    </row>
    <row r="98" spans="2:47" x14ac:dyDescent="0.25">
      <c r="AK98" s="158" t="s">
        <v>329</v>
      </c>
      <c r="AL98" s="307">
        <f>$AG$93+AL97</f>
        <v>64.745864182903034</v>
      </c>
      <c r="AM98" s="307">
        <f t="shared" ref="AM98:AS98" si="68">$AG$93+AM97</f>
        <v>64.745864182903034</v>
      </c>
      <c r="AN98" s="307">
        <f t="shared" si="68"/>
        <v>66.745864182903034</v>
      </c>
      <c r="AO98" s="307">
        <f t="shared" si="68"/>
        <v>60.745864182903034</v>
      </c>
      <c r="AP98" s="307">
        <f t="shared" si="68"/>
        <v>54.745864182903034</v>
      </c>
      <c r="AQ98" s="307">
        <f t="shared" si="68"/>
        <v>52.745864182903034</v>
      </c>
      <c r="AR98" s="307">
        <f t="shared" si="68"/>
        <v>46.745864182903034</v>
      </c>
      <c r="AS98" s="307">
        <f t="shared" si="68"/>
        <v>33.745864182903034</v>
      </c>
      <c r="AT98" s="309">
        <f t="array" ref="AT98">10*LOG10(SUM(10^(AL98:AS98/10)))</f>
        <v>70.939656374667223</v>
      </c>
      <c r="AU98" s="309">
        <f t="array" ref="AU98">10*LOG10(SUM(10^((AL98:AS98+$AL$128:$AS$128)/10)))</f>
        <v>62.807757237569831</v>
      </c>
    </row>
    <row r="100" spans="2:47" ht="14.25" thickBot="1" x14ac:dyDescent="0.3">
      <c r="B100" s="6" t="s">
        <v>332</v>
      </c>
      <c r="AL100" s="24" t="str">
        <f t="shared" ref="AL100:AS100" si="69">I102</f>
        <v>63 Hz</v>
      </c>
      <c r="AM100" s="24" t="str">
        <f t="shared" si="69"/>
        <v>125 Hz</v>
      </c>
      <c r="AN100" s="24" t="str">
        <f t="shared" si="69"/>
        <v>250 Hz</v>
      </c>
      <c r="AO100" s="24" t="str">
        <f t="shared" si="69"/>
        <v>500 Hz</v>
      </c>
      <c r="AP100" s="24" t="str">
        <f t="shared" si="69"/>
        <v>1 kHz</v>
      </c>
      <c r="AQ100" s="24" t="str">
        <f t="shared" si="69"/>
        <v>2 kHz</v>
      </c>
      <c r="AR100" s="24" t="str">
        <f t="shared" si="69"/>
        <v>4 kHz</v>
      </c>
      <c r="AS100" s="24" t="str">
        <f t="shared" si="69"/>
        <v>8 kHz</v>
      </c>
    </row>
    <row r="101" spans="2:47" ht="15.75" x14ac:dyDescent="0.3">
      <c r="B101" s="587" t="s">
        <v>0</v>
      </c>
      <c r="C101" s="588"/>
      <c r="D101" s="589"/>
      <c r="E101" s="587" t="s">
        <v>2</v>
      </c>
      <c r="F101" s="588"/>
      <c r="G101" s="589"/>
      <c r="H101" s="576" t="s">
        <v>174</v>
      </c>
      <c r="I101" s="587" t="s">
        <v>175</v>
      </c>
      <c r="J101" s="588"/>
      <c r="K101" s="588"/>
      <c r="L101" s="588"/>
      <c r="M101" s="588"/>
      <c r="N101" s="588"/>
      <c r="O101" s="588"/>
      <c r="P101" s="589"/>
      <c r="Q101" s="591" t="s">
        <v>176</v>
      </c>
      <c r="R101" s="576" t="s">
        <v>177</v>
      </c>
      <c r="S101" s="339" t="s">
        <v>333</v>
      </c>
      <c r="AC101" t="s">
        <v>313</v>
      </c>
      <c r="AK101" s="571" t="s">
        <v>173</v>
      </c>
      <c r="AL101" s="283">
        <f t="shared" ref="AL101:AL116" si="70">I104-$R104</f>
        <v>-1.1160644140638425</v>
      </c>
      <c r="AM101" s="284">
        <f t="shared" ref="AM101:AM116" si="71">J104-$R104</f>
        <v>-2.3341065849326768</v>
      </c>
      <c r="AN101" s="284">
        <f t="shared" ref="AN101:AN116" si="72">K104-$R104</f>
        <v>-3.1524592927228667</v>
      </c>
      <c r="AO101" s="284">
        <f t="shared" ref="AO101:AO116" si="73">L104-$R104</f>
        <v>0.66303468373901353</v>
      </c>
      <c r="AP101" s="284">
        <f t="shared" ref="AP101:AP116" si="74">M104-$R104</f>
        <v>-5.0268400042281058</v>
      </c>
      <c r="AQ101" s="284">
        <f t="shared" ref="AQ101:AQ116" si="75">N104-$R104</f>
        <v>-16.118362983104717</v>
      </c>
      <c r="AR101" s="284">
        <f t="shared" ref="AR101:AR116" si="76">O104-$R104</f>
        <v>-19.958813048824481</v>
      </c>
      <c r="AS101" s="285">
        <f t="shared" ref="AS101:AS116" si="77">P104-$R104</f>
        <v>-20.81756440004375</v>
      </c>
    </row>
    <row r="102" spans="2:47" ht="14.25" x14ac:dyDescent="0.3">
      <c r="B102" s="595" t="s">
        <v>178</v>
      </c>
      <c r="C102" s="597" t="s">
        <v>179</v>
      </c>
      <c r="D102" s="583" t="s">
        <v>304</v>
      </c>
      <c r="E102" s="595" t="s">
        <v>178</v>
      </c>
      <c r="F102" s="597" t="s">
        <v>179</v>
      </c>
      <c r="G102" s="583" t="s">
        <v>304</v>
      </c>
      <c r="H102" s="590"/>
      <c r="I102" s="585" t="s">
        <v>162</v>
      </c>
      <c r="J102" s="578" t="s">
        <v>163</v>
      </c>
      <c r="K102" s="578" t="s">
        <v>164</v>
      </c>
      <c r="L102" s="578" t="s">
        <v>165</v>
      </c>
      <c r="M102" s="578" t="s">
        <v>166</v>
      </c>
      <c r="N102" s="578" t="s">
        <v>167</v>
      </c>
      <c r="O102" s="578" t="s">
        <v>168</v>
      </c>
      <c r="P102" s="580" t="s">
        <v>169</v>
      </c>
      <c r="Q102" s="592"/>
      <c r="R102" s="590"/>
      <c r="S102" s="576" t="s">
        <v>179</v>
      </c>
      <c r="AC102" s="121" t="s">
        <v>314</v>
      </c>
      <c r="AK102" s="572"/>
      <c r="AL102" s="286">
        <f t="shared" si="70"/>
        <v>-1.9365189241497376</v>
      </c>
      <c r="AM102" s="130">
        <f t="shared" si="71"/>
        <v>-2.5283745548604344</v>
      </c>
      <c r="AN102" s="130">
        <f t="shared" si="72"/>
        <v>-3.4016026133470021</v>
      </c>
      <c r="AO102" s="130">
        <f t="shared" si="73"/>
        <v>1.0362459891806921</v>
      </c>
      <c r="AP102" s="130">
        <f t="shared" si="74"/>
        <v>-5.5158364627109151</v>
      </c>
      <c r="AQ102" s="130">
        <f t="shared" si="75"/>
        <v>-16.304880516882292</v>
      </c>
      <c r="AR102" s="130">
        <f t="shared" si="76"/>
        <v>-20.329780155891299</v>
      </c>
      <c r="AS102" s="287">
        <f t="shared" si="77"/>
        <v>-21.66040067083334</v>
      </c>
    </row>
    <row r="103" spans="2:47" x14ac:dyDescent="0.25">
      <c r="B103" s="596"/>
      <c r="C103" s="598"/>
      <c r="D103" s="584"/>
      <c r="E103" s="596"/>
      <c r="F103" s="598"/>
      <c r="G103" s="584"/>
      <c r="H103" s="577"/>
      <c r="I103" s="586"/>
      <c r="J103" s="579"/>
      <c r="K103" s="579"/>
      <c r="L103" s="579"/>
      <c r="M103" s="579"/>
      <c r="N103" s="579"/>
      <c r="O103" s="579"/>
      <c r="P103" s="581"/>
      <c r="Q103" s="593"/>
      <c r="R103" s="594"/>
      <c r="S103" s="577"/>
      <c r="AG103" t="s">
        <v>320</v>
      </c>
      <c r="AK103" s="572"/>
      <c r="AL103" s="286">
        <f t="shared" si="70"/>
        <v>-2.342167885900885</v>
      </c>
      <c r="AM103" s="130">
        <f t="shared" si="71"/>
        <v>-3.5930147876207315</v>
      </c>
      <c r="AN103" s="130">
        <f t="shared" si="72"/>
        <v>-4.7349615869219264</v>
      </c>
      <c r="AO103" s="130">
        <f t="shared" si="73"/>
        <v>1.7559374801688392</v>
      </c>
      <c r="AP103" s="130">
        <f t="shared" si="74"/>
        <v>-7.1778288722292984</v>
      </c>
      <c r="AQ103" s="130">
        <f t="shared" si="75"/>
        <v>-18.070937885117452</v>
      </c>
      <c r="AR103" s="130">
        <f t="shared" si="76"/>
        <v>-22.403075563238552</v>
      </c>
      <c r="AS103" s="287">
        <f t="shared" si="77"/>
        <v>-23.712362833877663</v>
      </c>
    </row>
    <row r="104" spans="2:47" ht="15.75" thickBot="1" x14ac:dyDescent="0.35">
      <c r="B104" s="252">
        <v>100</v>
      </c>
      <c r="C104" s="333">
        <v>151.40710644070873</v>
      </c>
      <c r="D104" s="254">
        <v>102.39702097196383</v>
      </c>
      <c r="E104" s="252">
        <v>100</v>
      </c>
      <c r="F104" s="333">
        <v>154.67353277087452</v>
      </c>
      <c r="G104" s="254">
        <v>125.58148161795198</v>
      </c>
      <c r="H104" s="258">
        <v>355.42185858950086</v>
      </c>
      <c r="I104" s="259">
        <v>52.797019881572183</v>
      </c>
      <c r="J104" s="253">
        <v>51.578977710703349</v>
      </c>
      <c r="K104" s="253">
        <v>50.760625002913159</v>
      </c>
      <c r="L104" s="253">
        <v>54.576118979375039</v>
      </c>
      <c r="M104" s="253">
        <v>48.88624429140792</v>
      </c>
      <c r="N104" s="253">
        <v>37.794721312531308</v>
      </c>
      <c r="O104" s="253">
        <v>33.954271246811544</v>
      </c>
      <c r="P104" s="254">
        <v>33.095519895592275</v>
      </c>
      <c r="Q104" s="260">
        <v>59.181074606355935</v>
      </c>
      <c r="R104" s="336">
        <v>53.913084295636025</v>
      </c>
      <c r="S104" s="336">
        <f>AVERAGE(C104,F104)</f>
        <v>153.04031960579164</v>
      </c>
      <c r="AC104" s="166" t="s">
        <v>315</v>
      </c>
      <c r="AD104" s="166" t="s">
        <v>6</v>
      </c>
      <c r="AE104" s="166" t="s">
        <v>7</v>
      </c>
      <c r="AG104" s="166" t="s">
        <v>301</v>
      </c>
      <c r="AH104" s="166" t="s">
        <v>185</v>
      </c>
      <c r="AK104" s="582"/>
      <c r="AL104" s="288">
        <f t="shared" si="70"/>
        <v>-3.1481654604639928</v>
      </c>
      <c r="AM104" s="289">
        <f t="shared" si="71"/>
        <v>-5.3376286976295333</v>
      </c>
      <c r="AN104" s="289">
        <f t="shared" si="72"/>
        <v>-6.315507773111257</v>
      </c>
      <c r="AO104" s="289">
        <f t="shared" si="73"/>
        <v>2.3064602608171541</v>
      </c>
      <c r="AP104" s="289">
        <f t="shared" si="74"/>
        <v>-8.2864997363766193</v>
      </c>
      <c r="AQ104" s="289">
        <f t="shared" si="75"/>
        <v>-20.130381607840469</v>
      </c>
      <c r="AR104" s="289">
        <f t="shared" si="76"/>
        <v>-24.525123424933128</v>
      </c>
      <c r="AS104" s="290">
        <f t="shared" si="77"/>
        <v>-26.028326233059431</v>
      </c>
      <c r="AT104" s="10"/>
      <c r="AU104" s="10"/>
    </row>
    <row r="105" spans="2:47" x14ac:dyDescent="0.25">
      <c r="B105" s="261">
        <v>100</v>
      </c>
      <c r="C105" s="334">
        <v>136.15897781547224</v>
      </c>
      <c r="D105" s="263">
        <v>228.35177572580977</v>
      </c>
      <c r="E105" s="261">
        <v>100</v>
      </c>
      <c r="F105" s="334">
        <v>143.37258639698734</v>
      </c>
      <c r="G105" s="263">
        <v>229.84195659733228</v>
      </c>
      <c r="H105" s="267">
        <v>360.86482410064775</v>
      </c>
      <c r="I105" s="268">
        <v>52.022551327341631</v>
      </c>
      <c r="J105" s="262">
        <v>51.430695696630934</v>
      </c>
      <c r="K105" s="262">
        <v>50.557467638144367</v>
      </c>
      <c r="L105" s="262">
        <v>54.995316240672061</v>
      </c>
      <c r="M105" s="262">
        <v>48.443233788780454</v>
      </c>
      <c r="N105" s="262">
        <v>37.654189734609076</v>
      </c>
      <c r="O105" s="262">
        <v>33.629290095600069</v>
      </c>
      <c r="P105" s="263">
        <v>32.298669580658029</v>
      </c>
      <c r="Q105" s="269">
        <v>59.072077543851506</v>
      </c>
      <c r="R105" s="337">
        <v>53.959070251491369</v>
      </c>
      <c r="S105" s="337">
        <f t="shared" ref="S105:S119" si="78">AVERAGE(C105,F105)</f>
        <v>139.76578210622978</v>
      </c>
      <c r="AC105" s="166">
        <v>10</v>
      </c>
      <c r="AD105" s="166">
        <f t="array" ref="AD105:AE105">LINEST(R104:R107,S104:S107)</f>
        <v>-9.8498305104105205E-2</v>
      </c>
      <c r="AE105" s="166">
        <v>68.403058253171451</v>
      </c>
      <c r="AG105" s="279">
        <f>AVERAGE(AG9,AG57)</f>
        <v>148.11568223963343</v>
      </c>
      <c r="AH105" s="130">
        <f>AD105*AG105+AE105</f>
        <v>53.813914593229342</v>
      </c>
      <c r="AK105" s="571" t="s">
        <v>221</v>
      </c>
      <c r="AL105" s="283">
        <f t="shared" si="70"/>
        <v>-0.8400257987053763</v>
      </c>
      <c r="AM105" s="284">
        <f t="shared" si="71"/>
        <v>-1.8769971201050097</v>
      </c>
      <c r="AN105" s="284">
        <f t="shared" si="72"/>
        <v>-2.5421159995129301</v>
      </c>
      <c r="AO105" s="284">
        <f t="shared" si="73"/>
        <v>0.91286494169163745</v>
      </c>
      <c r="AP105" s="284">
        <f t="shared" si="74"/>
        <v>-4.8552418584568429</v>
      </c>
      <c r="AQ105" s="284">
        <f t="shared" si="75"/>
        <v>-16.251777550561719</v>
      </c>
      <c r="AR105" s="284">
        <f t="shared" si="76"/>
        <v>-20.912394785665011</v>
      </c>
      <c r="AS105" s="285">
        <f t="shared" si="77"/>
        <v>-23.005579433477891</v>
      </c>
      <c r="AT105" s="10"/>
      <c r="AU105" s="10"/>
    </row>
    <row r="106" spans="2:47" x14ac:dyDescent="0.25">
      <c r="B106" s="261">
        <v>100</v>
      </c>
      <c r="C106" s="334">
        <v>120.834575684393</v>
      </c>
      <c r="D106" s="263">
        <v>346.85298389519301</v>
      </c>
      <c r="E106" s="261">
        <v>100</v>
      </c>
      <c r="F106" s="334">
        <v>129.10246085512708</v>
      </c>
      <c r="G106" s="263">
        <v>347.06546013778291</v>
      </c>
      <c r="H106" s="267">
        <v>357.7605906694285</v>
      </c>
      <c r="I106" s="268">
        <v>53.457466096016759</v>
      </c>
      <c r="J106" s="262">
        <v>52.206619194296913</v>
      </c>
      <c r="K106" s="262">
        <v>51.064672394995718</v>
      </c>
      <c r="L106" s="262">
        <v>57.555571462086483</v>
      </c>
      <c r="M106" s="262">
        <v>48.621805109688346</v>
      </c>
      <c r="N106" s="262">
        <v>37.728696096800192</v>
      </c>
      <c r="O106" s="262">
        <v>33.396558418679092</v>
      </c>
      <c r="P106" s="263">
        <v>32.087271148039981</v>
      </c>
      <c r="Q106" s="269">
        <v>60.673704548174562</v>
      </c>
      <c r="R106" s="337">
        <v>55.799633981917644</v>
      </c>
      <c r="S106" s="337">
        <f t="shared" si="78"/>
        <v>124.96851826976004</v>
      </c>
      <c r="AC106" s="166">
        <v>8</v>
      </c>
      <c r="AD106" s="166">
        <f t="array" ref="AD106:AE106">LINEST(R108:R111,S108:S111)</f>
        <v>-0.10990422223158251</v>
      </c>
      <c r="AE106" s="166">
        <v>65.120340123970365</v>
      </c>
      <c r="AG106" s="279">
        <f t="shared" ref="AG106:AG108" si="79">AVERAGE(AG10,AG58)</f>
        <v>125.83138557323082</v>
      </c>
      <c r="AH106" s="130">
        <f t="shared" ref="AH106:AH108" si="80">AD106*AG106+AE106</f>
        <v>51.290939560222057</v>
      </c>
      <c r="AK106" s="572"/>
      <c r="AL106" s="286">
        <f t="shared" si="70"/>
        <v>0.51757587007254813</v>
      </c>
      <c r="AM106" s="130">
        <f t="shared" si="71"/>
        <v>-2.2018654829592776</v>
      </c>
      <c r="AN106" s="130">
        <f t="shared" si="72"/>
        <v>-2.3621084216502126</v>
      </c>
      <c r="AO106" s="130">
        <f t="shared" si="73"/>
        <v>1.1938462728282744</v>
      </c>
      <c r="AP106" s="130">
        <f t="shared" si="74"/>
        <v>-5.2683780431563036</v>
      </c>
      <c r="AQ106" s="130">
        <f t="shared" si="75"/>
        <v>-16.735295936048729</v>
      </c>
      <c r="AR106" s="130">
        <f t="shared" si="76"/>
        <v>-20.965176869411064</v>
      </c>
      <c r="AS106" s="287">
        <f t="shared" si="77"/>
        <v>-23.283502296491843</v>
      </c>
      <c r="AT106" s="10"/>
      <c r="AU106" s="10"/>
    </row>
    <row r="107" spans="2:47" x14ac:dyDescent="0.25">
      <c r="B107" s="270">
        <v>100</v>
      </c>
      <c r="C107" s="335">
        <v>104.57530910842264</v>
      </c>
      <c r="D107" s="272">
        <v>465.2884593741552</v>
      </c>
      <c r="E107" s="270">
        <v>100</v>
      </c>
      <c r="F107" s="335">
        <v>112.42295326689053</v>
      </c>
      <c r="G107" s="272">
        <v>469.58251919730566</v>
      </c>
      <c r="H107" s="276">
        <v>355.34062827891239</v>
      </c>
      <c r="I107" s="277">
        <v>54.955206512207525</v>
      </c>
      <c r="J107" s="271">
        <v>52.765743275041984</v>
      </c>
      <c r="K107" s="271">
        <v>51.787864199560261</v>
      </c>
      <c r="L107" s="271">
        <v>60.409832233488672</v>
      </c>
      <c r="M107" s="271">
        <v>49.816872236294898</v>
      </c>
      <c r="N107" s="271">
        <v>37.972990364831048</v>
      </c>
      <c r="O107" s="271">
        <v>33.57824854773839</v>
      </c>
      <c r="P107" s="272">
        <v>32.075045739612086</v>
      </c>
      <c r="Q107" s="278">
        <v>62.69036932209449</v>
      </c>
      <c r="R107" s="338">
        <v>58.103371972671518</v>
      </c>
      <c r="S107" s="338">
        <f t="shared" si="78"/>
        <v>108.49913118765659</v>
      </c>
      <c r="AC107" s="166">
        <v>6</v>
      </c>
      <c r="AD107" s="166">
        <f t="array" ref="AD107:AE107">LINEST(R112:R115,S112:S115)</f>
        <v>-5.8972176098573213E-2</v>
      </c>
      <c r="AE107" s="166">
        <v>52.066275346168197</v>
      </c>
      <c r="AG107" s="279">
        <f t="shared" si="79"/>
        <v>89.717667657511413</v>
      </c>
      <c r="AH107" s="130">
        <f t="shared" si="80"/>
        <v>46.775429249916165</v>
      </c>
      <c r="AK107" s="572"/>
      <c r="AL107" s="286">
        <f t="shared" si="70"/>
        <v>-0.38894229529463331</v>
      </c>
      <c r="AM107" s="130">
        <f t="shared" si="71"/>
        <v>-3.4842058239804388</v>
      </c>
      <c r="AN107" s="130">
        <f t="shared" si="72"/>
        <v>-3.5778222370239376</v>
      </c>
      <c r="AO107" s="130">
        <f t="shared" si="73"/>
        <v>2.1155943246355733</v>
      </c>
      <c r="AP107" s="130">
        <f t="shared" si="74"/>
        <v>-6.4862031861963771</v>
      </c>
      <c r="AQ107" s="130">
        <f t="shared" si="75"/>
        <v>-18.120833298124197</v>
      </c>
      <c r="AR107" s="130">
        <f t="shared" si="76"/>
        <v>-23.093787852730422</v>
      </c>
      <c r="AS107" s="287">
        <f t="shared" si="77"/>
        <v>-25.483219972978603</v>
      </c>
      <c r="AT107" s="10"/>
      <c r="AU107" s="10"/>
    </row>
    <row r="108" spans="2:47" ht="14.25" thickBot="1" x14ac:dyDescent="0.3">
      <c r="B108" s="252">
        <v>80</v>
      </c>
      <c r="C108" s="333">
        <v>128.18984205427537</v>
      </c>
      <c r="D108" s="254">
        <v>73.216932358637322</v>
      </c>
      <c r="E108" s="252">
        <v>80</v>
      </c>
      <c r="F108" s="333">
        <v>131.56298726121182</v>
      </c>
      <c r="G108" s="254">
        <v>91.810828847829526</v>
      </c>
      <c r="H108" s="258">
        <v>234.81933757245235</v>
      </c>
      <c r="I108" s="259">
        <v>50.549947213544961</v>
      </c>
      <c r="J108" s="253">
        <v>49.512975892145327</v>
      </c>
      <c r="K108" s="253">
        <v>48.847857012737407</v>
      </c>
      <c r="L108" s="253">
        <v>52.302837953941975</v>
      </c>
      <c r="M108" s="253">
        <v>46.534731153793494</v>
      </c>
      <c r="N108" s="253">
        <v>35.138195461688618</v>
      </c>
      <c r="O108" s="253">
        <v>30.477578226585326</v>
      </c>
      <c r="P108" s="254">
        <v>28.384393578772446</v>
      </c>
      <c r="Q108" s="260">
        <v>56.986417917592512</v>
      </c>
      <c r="R108" s="336">
        <v>51.389973012250337</v>
      </c>
      <c r="S108" s="336">
        <f t="shared" si="78"/>
        <v>129.8764146577436</v>
      </c>
      <c r="AC108" s="166">
        <v>4</v>
      </c>
      <c r="AD108" s="166">
        <f t="array" ref="AD108:AE108">LINEST(R116:R119,S116:S119)</f>
        <v>-0.11371443634010096</v>
      </c>
      <c r="AE108" s="166">
        <v>43.348072124948132</v>
      </c>
      <c r="AG108" s="279">
        <f t="shared" si="79"/>
        <v>55.416476028403494</v>
      </c>
      <c r="AH108" s="130">
        <f t="shared" si="80"/>
        <v>37.046418789423512</v>
      </c>
      <c r="AK108" s="582"/>
      <c r="AL108" s="288">
        <f t="shared" si="70"/>
        <v>-0.83653739599788679</v>
      </c>
      <c r="AM108" s="289">
        <f t="shared" si="71"/>
        <v>-5.1010289502646344</v>
      </c>
      <c r="AN108" s="289">
        <f t="shared" si="72"/>
        <v>-4.6057285199608842</v>
      </c>
      <c r="AO108" s="289">
        <f t="shared" si="73"/>
        <v>3.0735420224215702</v>
      </c>
      <c r="AP108" s="289">
        <f t="shared" si="74"/>
        <v>-8.6658513049625938</v>
      </c>
      <c r="AQ108" s="289">
        <f t="shared" si="75"/>
        <v>-20.668661748800233</v>
      </c>
      <c r="AR108" s="289">
        <f t="shared" si="76"/>
        <v>-25.375934632293692</v>
      </c>
      <c r="AS108" s="290">
        <f t="shared" si="77"/>
        <v>-27.843959044737268</v>
      </c>
      <c r="AT108" s="10"/>
      <c r="AU108" s="10"/>
    </row>
    <row r="109" spans="2:47" x14ac:dyDescent="0.25">
      <c r="B109" s="261">
        <v>80</v>
      </c>
      <c r="C109" s="334">
        <v>116.11402945002664</v>
      </c>
      <c r="D109" s="263">
        <v>165.10872217935631</v>
      </c>
      <c r="E109" s="261">
        <v>80</v>
      </c>
      <c r="F109" s="334">
        <v>121.75644300407495</v>
      </c>
      <c r="G109" s="263">
        <v>172.15989299726076</v>
      </c>
      <c r="H109" s="267">
        <v>237.42588663419835</v>
      </c>
      <c r="I109" s="268">
        <v>52.014551089332919</v>
      </c>
      <c r="J109" s="262">
        <v>49.295109736301093</v>
      </c>
      <c r="K109" s="262">
        <v>49.134866797610158</v>
      </c>
      <c r="L109" s="262">
        <v>52.690821492088645</v>
      </c>
      <c r="M109" s="262">
        <v>46.228597176104067</v>
      </c>
      <c r="N109" s="262">
        <v>34.761679283211642</v>
      </c>
      <c r="O109" s="262">
        <v>30.531798349849307</v>
      </c>
      <c r="P109" s="263">
        <v>28.213472922768528</v>
      </c>
      <c r="Q109" s="269">
        <v>57.470557276863985</v>
      </c>
      <c r="R109" s="337">
        <v>51.496975219260371</v>
      </c>
      <c r="S109" s="337">
        <f t="shared" si="78"/>
        <v>118.93523622705079</v>
      </c>
      <c r="AK109" s="571" t="s">
        <v>172</v>
      </c>
      <c r="AL109" s="283">
        <f t="shared" si="70"/>
        <v>2.7676608838424173</v>
      </c>
      <c r="AM109" s="284">
        <f t="shared" si="71"/>
        <v>-1.6818662074151547</v>
      </c>
      <c r="AN109" s="284">
        <f t="shared" si="72"/>
        <v>-2.2463463346182806</v>
      </c>
      <c r="AO109" s="284">
        <f t="shared" si="73"/>
        <v>2.5630507511973946</v>
      </c>
      <c r="AP109" s="284">
        <f t="shared" si="74"/>
        <v>-6.2202947671566235</v>
      </c>
      <c r="AQ109" s="284">
        <f t="shared" si="75"/>
        <v>-18.315105040686124</v>
      </c>
      <c r="AR109" s="284">
        <f t="shared" si="76"/>
        <v>-24.29766511656095</v>
      </c>
      <c r="AS109" s="285">
        <f t="shared" si="77"/>
        <v>-28.377362625438771</v>
      </c>
      <c r="AT109" s="10"/>
      <c r="AU109" s="10"/>
    </row>
    <row r="110" spans="2:47" x14ac:dyDescent="0.25">
      <c r="B110" s="261">
        <v>80</v>
      </c>
      <c r="C110" s="334">
        <v>103.28353291426566</v>
      </c>
      <c r="D110" s="263">
        <v>249.55609206322799</v>
      </c>
      <c r="E110" s="261">
        <v>80</v>
      </c>
      <c r="F110" s="334">
        <v>109.77606548331498</v>
      </c>
      <c r="G110" s="263">
        <v>255.50531733683698</v>
      </c>
      <c r="H110" s="267">
        <v>235.93467436564501</v>
      </c>
      <c r="I110" s="268">
        <v>52.631105768314548</v>
      </c>
      <c r="J110" s="262">
        <v>49.535842239628742</v>
      </c>
      <c r="K110" s="262">
        <v>49.442225826585243</v>
      </c>
      <c r="L110" s="262">
        <v>55.135642388244754</v>
      </c>
      <c r="M110" s="262">
        <v>46.533844877412804</v>
      </c>
      <c r="N110" s="262">
        <v>34.899214765484984</v>
      </c>
      <c r="O110" s="262">
        <v>29.926260210878759</v>
      </c>
      <c r="P110" s="263">
        <v>27.536828090630578</v>
      </c>
      <c r="Q110" s="269">
        <v>58.674717662373169</v>
      </c>
      <c r="R110" s="337">
        <v>53.020048063609181</v>
      </c>
      <c r="S110" s="337">
        <f t="shared" si="78"/>
        <v>106.52979919879033</v>
      </c>
      <c r="AC110" t="s">
        <v>317</v>
      </c>
      <c r="AK110" s="572"/>
      <c r="AL110" s="286">
        <f t="shared" si="70"/>
        <v>2.2222135285713449</v>
      </c>
      <c r="AM110" s="130">
        <f t="shared" si="71"/>
        <v>-1.2798405555632755</v>
      </c>
      <c r="AN110" s="130">
        <f t="shared" si="72"/>
        <v>-0.20346584157217507</v>
      </c>
      <c r="AO110" s="130">
        <f t="shared" si="73"/>
        <v>2.03426542518784</v>
      </c>
      <c r="AP110" s="130">
        <f t="shared" si="74"/>
        <v>-6.3249920827763972</v>
      </c>
      <c r="AQ110" s="130">
        <f t="shared" si="75"/>
        <v>-18.259647620328494</v>
      </c>
      <c r="AR110" s="130">
        <f t="shared" si="76"/>
        <v>-23.851554051273304</v>
      </c>
      <c r="AS110" s="287">
        <f t="shared" si="77"/>
        <v>-28.448582345348466</v>
      </c>
      <c r="AT110" s="10"/>
      <c r="AU110" s="10"/>
    </row>
    <row r="111" spans="2:47" ht="14.25" x14ac:dyDescent="0.3">
      <c r="B111" s="270">
        <v>80</v>
      </c>
      <c r="C111" s="335">
        <v>88.895636148672438</v>
      </c>
      <c r="D111" s="272">
        <v>333.46489734949779</v>
      </c>
      <c r="E111" s="270">
        <v>80</v>
      </c>
      <c r="F111" s="335">
        <v>94.975898146700317</v>
      </c>
      <c r="G111" s="272">
        <v>344.3779548529011</v>
      </c>
      <c r="H111" s="276">
        <v>234.57481249724401</v>
      </c>
      <c r="I111" s="277">
        <v>54.580172123054297</v>
      </c>
      <c r="J111" s="271">
        <v>50.315680568787549</v>
      </c>
      <c r="K111" s="271">
        <v>50.810980999091299</v>
      </c>
      <c r="L111" s="271">
        <v>58.490251541473754</v>
      </c>
      <c r="M111" s="271">
        <v>46.75085821408959</v>
      </c>
      <c r="N111" s="271">
        <v>34.748047770251951</v>
      </c>
      <c r="O111" s="271">
        <v>30.040774886758491</v>
      </c>
      <c r="P111" s="272">
        <v>27.572750474314915</v>
      </c>
      <c r="Q111" s="278">
        <v>61.049675808706397</v>
      </c>
      <c r="R111" s="338">
        <v>55.416709519052183</v>
      </c>
      <c r="S111" s="338">
        <f t="shared" si="78"/>
        <v>91.935767147686377</v>
      </c>
      <c r="AC111" s="176" t="s">
        <v>318</v>
      </c>
      <c r="AD111" s="310"/>
      <c r="AG111" s="121" t="s">
        <v>318</v>
      </c>
      <c r="AK111" s="572"/>
      <c r="AL111" s="286">
        <f t="shared" si="70"/>
        <v>1.9195908352788607</v>
      </c>
      <c r="AM111" s="130">
        <f t="shared" si="71"/>
        <v>-1.6202947353788701</v>
      </c>
      <c r="AN111" s="130">
        <f t="shared" si="72"/>
        <v>2.0857666795129504</v>
      </c>
      <c r="AO111" s="130">
        <f t="shared" si="73"/>
        <v>0.99951458458944131</v>
      </c>
      <c r="AP111" s="130">
        <f t="shared" si="74"/>
        <v>-6.9434115191678032</v>
      </c>
      <c r="AQ111" s="130">
        <f t="shared" si="75"/>
        <v>-18.720822605838485</v>
      </c>
      <c r="AR111" s="130">
        <f t="shared" si="76"/>
        <v>-24.228284181632709</v>
      </c>
      <c r="AS111" s="287">
        <f t="shared" si="77"/>
        <v>-28.958470939767778</v>
      </c>
      <c r="AT111" s="10"/>
      <c r="AU111" s="10"/>
    </row>
    <row r="112" spans="2:47" ht="16.5" thickBot="1" x14ac:dyDescent="0.35">
      <c r="B112" s="252">
        <v>60</v>
      </c>
      <c r="C112" s="333">
        <v>89.227835208621698</v>
      </c>
      <c r="D112" s="254">
        <v>36.693251922196168</v>
      </c>
      <c r="E112" s="252">
        <v>60</v>
      </c>
      <c r="F112" s="333">
        <v>95.153900321387582</v>
      </c>
      <c r="G112" s="254">
        <v>49.622915218002866</v>
      </c>
      <c r="H112" s="258">
        <v>109.29702957766789</v>
      </c>
      <c r="I112" s="259">
        <v>49.915393365037424</v>
      </c>
      <c r="J112" s="253">
        <v>45.465866273779852</v>
      </c>
      <c r="K112" s="253">
        <v>44.901386146576726</v>
      </c>
      <c r="L112" s="253">
        <v>49.710783232392401</v>
      </c>
      <c r="M112" s="253">
        <v>40.927437714038383</v>
      </c>
      <c r="N112" s="253">
        <v>28.832627440508883</v>
      </c>
      <c r="O112" s="253">
        <v>22.850067364634057</v>
      </c>
      <c r="P112" s="254">
        <v>18.770369855756236</v>
      </c>
      <c r="Q112" s="260">
        <v>54.332217652579295</v>
      </c>
      <c r="R112" s="336">
        <v>47.147732481195007</v>
      </c>
      <c r="S112" s="336">
        <f t="shared" si="78"/>
        <v>92.19086776500464</v>
      </c>
      <c r="AC112" s="176" t="s">
        <v>319</v>
      </c>
      <c r="AD112" s="310"/>
      <c r="AF112" s="5"/>
      <c r="AG112" s="121" t="s">
        <v>334</v>
      </c>
      <c r="AK112" s="572"/>
      <c r="AL112" s="288">
        <f t="shared" si="70"/>
        <v>-0.2273015672618115</v>
      </c>
      <c r="AM112" s="289">
        <f t="shared" si="71"/>
        <v>-2.7293613674123023</v>
      </c>
      <c r="AN112" s="289">
        <f t="shared" si="72"/>
        <v>3.8158583158791046</v>
      </c>
      <c r="AO112" s="289">
        <f t="shared" si="73"/>
        <v>-0.12416320675638559</v>
      </c>
      <c r="AP112" s="289">
        <f t="shared" si="74"/>
        <v>-8.5273812630868306</v>
      </c>
      <c r="AQ112" s="289">
        <f t="shared" si="75"/>
        <v>-19.338770024103955</v>
      </c>
      <c r="AR112" s="289">
        <f t="shared" si="76"/>
        <v>-25.564623420368932</v>
      </c>
      <c r="AS112" s="290">
        <f t="shared" si="77"/>
        <v>-30.070665883220851</v>
      </c>
      <c r="AT112" s="10"/>
      <c r="AU112" s="10"/>
    </row>
    <row r="113" spans="2:47" x14ac:dyDescent="0.25">
      <c r="B113" s="261">
        <v>60</v>
      </c>
      <c r="C113" s="334">
        <v>81.608050877159414</v>
      </c>
      <c r="D113" s="263">
        <v>85.026736609306951</v>
      </c>
      <c r="E113" s="261">
        <v>60</v>
      </c>
      <c r="F113" s="334">
        <v>89.0983757978493</v>
      </c>
      <c r="G113" s="263">
        <v>92.138775373164449</v>
      </c>
      <c r="H113" s="267">
        <v>110.09870803415585</v>
      </c>
      <c r="I113" s="268">
        <v>48.799963631723891</v>
      </c>
      <c r="J113" s="262">
        <v>45.297909547589271</v>
      </c>
      <c r="K113" s="262">
        <v>46.374284261580371</v>
      </c>
      <c r="L113" s="262">
        <v>48.612015528340386</v>
      </c>
      <c r="M113" s="262">
        <v>40.252758020376149</v>
      </c>
      <c r="N113" s="262">
        <v>28.318102482824052</v>
      </c>
      <c r="O113" s="262">
        <v>22.726196051879242</v>
      </c>
      <c r="P113" s="263">
        <v>18.12916775780408</v>
      </c>
      <c r="Q113" s="269">
        <v>53.752866045209174</v>
      </c>
      <c r="R113" s="337">
        <v>46.577750103152546</v>
      </c>
      <c r="S113" s="337">
        <f t="shared" si="78"/>
        <v>85.353213337504357</v>
      </c>
      <c r="AC113" s="348" t="s">
        <v>6</v>
      </c>
      <c r="AD113" s="348" t="s">
        <v>7</v>
      </c>
      <c r="AG113" s="166" t="s">
        <v>6</v>
      </c>
      <c r="AH113" s="166" t="s">
        <v>7</v>
      </c>
      <c r="AK113" s="573" t="s">
        <v>171</v>
      </c>
      <c r="AL113" s="291">
        <f t="shared" si="70"/>
        <v>9.560146086301593</v>
      </c>
      <c r="AM113" s="284">
        <f t="shared" si="71"/>
        <v>2.861631326608844</v>
      </c>
      <c r="AN113" s="284">
        <f t="shared" si="72"/>
        <v>2.5273167393721963</v>
      </c>
      <c r="AO113" s="284">
        <f t="shared" si="73"/>
        <v>-1.2704354877357105</v>
      </c>
      <c r="AP113" s="284">
        <f t="shared" si="74"/>
        <v>-4.8050981428117439</v>
      </c>
      <c r="AQ113" s="284">
        <f t="shared" si="75"/>
        <v>-13.913499557454347</v>
      </c>
      <c r="AR113" s="284">
        <f t="shared" si="76"/>
        <v>-25.535547042770954</v>
      </c>
      <c r="AS113" s="285">
        <f t="shared" si="77"/>
        <v>-28.575831069261575</v>
      </c>
      <c r="AT113" s="10"/>
      <c r="AU113" s="10"/>
    </row>
    <row r="114" spans="2:47" x14ac:dyDescent="0.25">
      <c r="B114" s="261">
        <v>60</v>
      </c>
      <c r="C114" s="334">
        <v>73.439098597861232</v>
      </c>
      <c r="D114" s="263">
        <v>129.14177390425556</v>
      </c>
      <c r="E114" s="261">
        <v>60</v>
      </c>
      <c r="F114" s="334">
        <v>80.825262462250663</v>
      </c>
      <c r="G114" s="263">
        <v>138.1281222083808</v>
      </c>
      <c r="H114" s="267">
        <v>109.28375494322141</v>
      </c>
      <c r="I114" s="268">
        <v>48.97308189589809</v>
      </c>
      <c r="J114" s="262">
        <v>45.43319632524036</v>
      </c>
      <c r="K114" s="262">
        <v>49.13925774013218</v>
      </c>
      <c r="L114" s="262">
        <v>48.053005645208671</v>
      </c>
      <c r="M114" s="262">
        <v>40.110079541451427</v>
      </c>
      <c r="N114" s="262">
        <v>28.332668454780745</v>
      </c>
      <c r="O114" s="262">
        <v>22.825206878986521</v>
      </c>
      <c r="P114" s="263">
        <v>18.095020120851451</v>
      </c>
      <c r="Q114" s="269">
        <v>54.329171431998034</v>
      </c>
      <c r="R114" s="337">
        <v>47.05349106061923</v>
      </c>
      <c r="S114" s="337">
        <f t="shared" si="78"/>
        <v>77.132180530055948</v>
      </c>
      <c r="AC114" s="349">
        <f t="array" ref="AC114:AD114">LINEST(AH105:AH108,LN(AG105:AG108))</f>
        <v>16.929872268406882</v>
      </c>
      <c r="AD114" s="349">
        <v>-30.410754790275789</v>
      </c>
      <c r="AG114" s="280">
        <f t="array" ref="AG114:AH114">LINEST(AH105:AH108,LN(AC105:AC108))</f>
        <v>18.445568503875016</v>
      </c>
      <c r="AH114" s="280">
        <v>12.369180020105922</v>
      </c>
      <c r="AK114" s="574"/>
      <c r="AL114" s="292">
        <f t="shared" si="70"/>
        <v>9.0843550279916627</v>
      </c>
      <c r="AM114" s="130">
        <f t="shared" si="71"/>
        <v>2.3611038000429332</v>
      </c>
      <c r="AN114" s="130">
        <f t="shared" si="72"/>
        <v>3.5848649032400104</v>
      </c>
      <c r="AO114" s="130">
        <f t="shared" si="73"/>
        <v>-0.60424636328414039</v>
      </c>
      <c r="AP114" s="130">
        <f t="shared" si="74"/>
        <v>-5.9364480514923841</v>
      </c>
      <c r="AQ114" s="130">
        <f t="shared" si="75"/>
        <v>-16.47176818904391</v>
      </c>
      <c r="AR114" s="130">
        <f t="shared" si="76"/>
        <v>-27.322094126358309</v>
      </c>
      <c r="AS114" s="287">
        <f t="shared" si="77"/>
        <v>-31.205005720282237</v>
      </c>
      <c r="AT114" s="10"/>
      <c r="AU114" s="10"/>
    </row>
    <row r="115" spans="2:47" x14ac:dyDescent="0.25">
      <c r="B115" s="270">
        <v>60</v>
      </c>
      <c r="C115" s="335">
        <v>63.93802624166495</v>
      </c>
      <c r="D115" s="272">
        <v>174.03657136282132</v>
      </c>
      <c r="E115" s="270">
        <v>60</v>
      </c>
      <c r="F115" s="335">
        <v>70.070751416175909</v>
      </c>
      <c r="G115" s="272">
        <v>186.999090320562</v>
      </c>
      <c r="H115" s="276">
        <v>108.53322136613137</v>
      </c>
      <c r="I115" s="277">
        <v>48.288618205925893</v>
      </c>
      <c r="J115" s="271">
        <v>45.786558405775402</v>
      </c>
      <c r="K115" s="271">
        <v>52.331778089066809</v>
      </c>
      <c r="L115" s="271">
        <v>48.391756566431319</v>
      </c>
      <c r="M115" s="271">
        <v>39.988538510100874</v>
      </c>
      <c r="N115" s="271">
        <v>29.17714974908375</v>
      </c>
      <c r="O115" s="271">
        <v>22.951296352818773</v>
      </c>
      <c r="P115" s="272">
        <v>18.445253889966853</v>
      </c>
      <c r="Q115" s="278">
        <v>55.520893901984259</v>
      </c>
      <c r="R115" s="338">
        <v>48.515919773187704</v>
      </c>
      <c r="S115" s="338">
        <f t="shared" si="78"/>
        <v>67.004388828920426</v>
      </c>
      <c r="AF115" s="281"/>
      <c r="AK115" s="574"/>
      <c r="AL115" s="292">
        <f t="shared" si="70"/>
        <v>10.150172515616298</v>
      </c>
      <c r="AM115" s="130">
        <f t="shared" si="71"/>
        <v>2.5053282133660915</v>
      </c>
      <c r="AN115" s="130">
        <f t="shared" si="72"/>
        <v>4.5556334871392892</v>
      </c>
      <c r="AO115" s="130">
        <f t="shared" si="73"/>
        <v>-1.1085463886049141</v>
      </c>
      <c r="AP115" s="130">
        <f t="shared" si="74"/>
        <v>-5.8982379433554541</v>
      </c>
      <c r="AQ115" s="130">
        <f t="shared" si="75"/>
        <v>-15.022851350937291</v>
      </c>
      <c r="AR115" s="130">
        <f t="shared" si="76"/>
        <v>-27.679404844455295</v>
      </c>
      <c r="AS115" s="287">
        <f t="shared" si="77"/>
        <v>-31.658041987516548</v>
      </c>
      <c r="AT115" s="10"/>
      <c r="AU115" s="10"/>
    </row>
    <row r="116" spans="2:47" ht="14.25" thickBot="1" x14ac:dyDescent="0.3">
      <c r="B116" s="252">
        <v>40</v>
      </c>
      <c r="C116" s="333">
        <v>53.594521159465579</v>
      </c>
      <c r="D116" s="254">
        <v>12.996452456623569</v>
      </c>
      <c r="E116" s="252">
        <v>40</v>
      </c>
      <c r="F116" s="333">
        <v>60.462707273709761</v>
      </c>
      <c r="G116" s="254">
        <v>21.140196499178764</v>
      </c>
      <c r="H116" s="258">
        <v>43.148405893840895</v>
      </c>
      <c r="I116" s="259">
        <v>46.420612173294074</v>
      </c>
      <c r="J116" s="253">
        <v>39.722097413601325</v>
      </c>
      <c r="K116" s="253">
        <v>39.387782826364678</v>
      </c>
      <c r="L116" s="253">
        <v>35.590030599256771</v>
      </c>
      <c r="M116" s="253">
        <v>32.055367944180738</v>
      </c>
      <c r="N116" s="253">
        <v>22.946966529538134</v>
      </c>
      <c r="O116" s="253">
        <v>11.324919044221527</v>
      </c>
      <c r="P116" s="254">
        <v>8.2846350177309063</v>
      </c>
      <c r="Q116" s="260">
        <v>48.28464371351938</v>
      </c>
      <c r="R116" s="336">
        <v>36.860466086992481</v>
      </c>
      <c r="S116" s="336">
        <f t="shared" si="78"/>
        <v>57.02861421658767</v>
      </c>
      <c r="AC116" s="310" t="s">
        <v>338</v>
      </c>
      <c r="AD116" s="310"/>
      <c r="AE116" s="310"/>
      <c r="AF116" s="310"/>
      <c r="AG116" s="310"/>
      <c r="AH116" s="310"/>
      <c r="AK116" s="575"/>
      <c r="AL116" s="293">
        <f t="shared" si="70"/>
        <v>7.2084523969480827</v>
      </c>
      <c r="AM116" s="167">
        <f t="shared" si="71"/>
        <v>2.6368246505479433</v>
      </c>
      <c r="AN116" s="167">
        <f t="shared" si="72"/>
        <v>6.680610252551979</v>
      </c>
      <c r="AO116" s="167">
        <f t="shared" si="73"/>
        <v>-2.2373474503514288</v>
      </c>
      <c r="AP116" s="167">
        <f t="shared" si="74"/>
        <v>-6.8519522037104572</v>
      </c>
      <c r="AQ116" s="167">
        <f t="shared" si="75"/>
        <v>-16.72065220654628</v>
      </c>
      <c r="AR116" s="167">
        <f t="shared" si="76"/>
        <v>-27.983995325895794</v>
      </c>
      <c r="AS116" s="294">
        <f t="shared" si="77"/>
        <v>-30.257033900676426</v>
      </c>
      <c r="AT116" s="10"/>
      <c r="AU116" s="10"/>
    </row>
    <row r="117" spans="2:47" ht="14.25" thickTop="1" x14ac:dyDescent="0.25">
      <c r="B117" s="261">
        <v>40</v>
      </c>
      <c r="C117" s="334">
        <v>49.436497560803538</v>
      </c>
      <c r="D117" s="263">
        <v>31.370539170867435</v>
      </c>
      <c r="E117" s="261">
        <v>40</v>
      </c>
      <c r="F117" s="334">
        <v>57.113711315551079</v>
      </c>
      <c r="G117" s="263">
        <v>38.097557761691561</v>
      </c>
      <c r="H117" s="267">
        <v>43.463432535380527</v>
      </c>
      <c r="I117" s="268">
        <v>46.35297256051458</v>
      </c>
      <c r="J117" s="262">
        <v>39.62972133256585</v>
      </c>
      <c r="K117" s="262">
        <v>40.853482435762928</v>
      </c>
      <c r="L117" s="262">
        <v>36.664371169238777</v>
      </c>
      <c r="M117" s="262">
        <v>31.332169481030533</v>
      </c>
      <c r="N117" s="262">
        <v>20.796849343479007</v>
      </c>
      <c r="O117" s="262">
        <v>9.9465234061646086</v>
      </c>
      <c r="P117" s="263">
        <v>6.0636118122406799</v>
      </c>
      <c r="Q117" s="269">
        <v>48.492227460890824</v>
      </c>
      <c r="R117" s="337">
        <v>37.268617532522917</v>
      </c>
      <c r="S117" s="337">
        <f t="shared" si="78"/>
        <v>53.275104438177308</v>
      </c>
      <c r="AC117" s="343">
        <f>AVERAGE(MAX(AC69,AC21),MAX(AC69,AC21),MIN(AC69,AC21))</f>
        <v>84</v>
      </c>
      <c r="AD117" s="310" t="s">
        <v>223</v>
      </c>
      <c r="AE117" s="344" t="s">
        <v>321</v>
      </c>
      <c r="AF117" s="345" t="s">
        <v>185</v>
      </c>
      <c r="AG117" s="346">
        <f>AC114*LN(AC117)+AD114</f>
        <v>44.602407658852982</v>
      </c>
      <c r="AH117" s="347" t="s">
        <v>189</v>
      </c>
      <c r="AK117" s="295">
        <v>10</v>
      </c>
      <c r="AL117" s="296">
        <f>ROUND(AVERAGE(AL101:AL104),0)</f>
        <v>-2</v>
      </c>
      <c r="AM117" s="312">
        <f>ROUND(AVERAGE(AM101:AM104),0)</f>
        <v>-3</v>
      </c>
      <c r="AN117" s="312">
        <f>ROUND(AVERAGE(AN101:AN104),0)</f>
        <v>-4</v>
      </c>
      <c r="AO117" s="297">
        <f t="shared" ref="AO117:AR117" si="81">ROUND(AVERAGE(AO101:AO104),0)</f>
        <v>1</v>
      </c>
      <c r="AP117" s="297">
        <f t="shared" si="81"/>
        <v>-7</v>
      </c>
      <c r="AQ117" s="297">
        <f t="shared" si="81"/>
        <v>-18</v>
      </c>
      <c r="AR117" s="297">
        <f t="shared" si="81"/>
        <v>-22</v>
      </c>
      <c r="AS117" s="298">
        <f>ROUND(AVERAGE(AS101:AS104),0)</f>
        <v>-23</v>
      </c>
      <c r="AT117" s="3">
        <f t="array" ref="AT117">10*LOG10(SUM(10^((AL117:AS117+$AL$128:$AS$128)/10)))</f>
        <v>-0.44032021052881298</v>
      </c>
      <c r="AU117" s="10" t="str">
        <f>IF(ABS(AT117)&lt;0.5,"OK","TARKASTA")</f>
        <v>OK</v>
      </c>
    </row>
    <row r="118" spans="2:47" x14ac:dyDescent="0.25">
      <c r="B118" s="261">
        <v>40</v>
      </c>
      <c r="C118" s="334">
        <v>44.830163645397754</v>
      </c>
      <c r="D118" s="263">
        <v>48.61838981289818</v>
      </c>
      <c r="E118" s="261">
        <v>40</v>
      </c>
      <c r="F118" s="334">
        <v>52.029976826912531</v>
      </c>
      <c r="G118" s="263">
        <v>56.925131370665078</v>
      </c>
      <c r="H118" s="267">
        <v>43.794080223688937</v>
      </c>
      <c r="I118" s="268">
        <v>48.035110006519602</v>
      </c>
      <c r="J118" s="262">
        <v>40.390265704269396</v>
      </c>
      <c r="K118" s="262">
        <v>42.440570978042594</v>
      </c>
      <c r="L118" s="262">
        <v>36.77639110229839</v>
      </c>
      <c r="M118" s="262">
        <v>31.98669954754785</v>
      </c>
      <c r="N118" s="262">
        <v>22.862086139966014</v>
      </c>
      <c r="O118" s="262">
        <v>10.20553264644801</v>
      </c>
      <c r="P118" s="263">
        <v>6.226895503386757</v>
      </c>
      <c r="Q118" s="269">
        <v>49.940425135297801</v>
      </c>
      <c r="R118" s="337">
        <v>37.884937490903305</v>
      </c>
      <c r="S118" s="337">
        <f t="shared" si="78"/>
        <v>48.430070236155146</v>
      </c>
      <c r="AK118" s="299">
        <v>8</v>
      </c>
      <c r="AL118" s="300">
        <f>ROUND(AVERAGE(AL105:AL108),0)</f>
        <v>0</v>
      </c>
      <c r="AM118" s="313">
        <f>ROUND(AVERAGE(AM105:AM108),0)</f>
        <v>-3</v>
      </c>
      <c r="AN118" s="313">
        <f>ROUND(AVERAGE(AN105:AN108),0)</f>
        <v>-3</v>
      </c>
      <c r="AO118" s="301">
        <f t="shared" ref="AO118:AR118" si="82">ROUND(AVERAGE(AO105:AO108),0)</f>
        <v>2</v>
      </c>
      <c r="AP118" s="301">
        <f t="shared" si="82"/>
        <v>-6</v>
      </c>
      <c r="AQ118" s="301">
        <f t="shared" si="82"/>
        <v>-18</v>
      </c>
      <c r="AR118" s="301">
        <f t="shared" si="82"/>
        <v>-23</v>
      </c>
      <c r="AS118" s="302">
        <f>ROUND(AVERAGE(AS105:AS108),0)</f>
        <v>-25</v>
      </c>
      <c r="AT118" s="3">
        <f t="array" ref="AT118">10*LOG10(SUM(10^((AL118:AS118+$AL$128:$AS$128)/10)))</f>
        <v>0.50498882625748498</v>
      </c>
      <c r="AU118" s="10" t="str">
        <f t="shared" ref="AU118:AU120" si="83">IF(ABS(AT118)&lt;0.5,"OK","TARKASTA")</f>
        <v>TARKASTA</v>
      </c>
    </row>
    <row r="119" spans="2:47" x14ac:dyDescent="0.25">
      <c r="B119" s="270">
        <v>40</v>
      </c>
      <c r="C119" s="335">
        <v>39.530396061992946</v>
      </c>
      <c r="D119" s="272">
        <v>65.90660607894749</v>
      </c>
      <c r="E119" s="270">
        <v>40</v>
      </c>
      <c r="F119" s="335">
        <v>44.826091961292548</v>
      </c>
      <c r="G119" s="272">
        <v>77.505258337429723</v>
      </c>
      <c r="H119" s="276">
        <v>43.490922396128305</v>
      </c>
      <c r="I119" s="277">
        <v>45.740121210863165</v>
      </c>
      <c r="J119" s="271">
        <v>41.168493464463026</v>
      </c>
      <c r="K119" s="271">
        <v>45.212279066467062</v>
      </c>
      <c r="L119" s="271">
        <v>36.294321363563654</v>
      </c>
      <c r="M119" s="271">
        <v>31.679716610204625</v>
      </c>
      <c r="N119" s="271">
        <v>21.811016607368803</v>
      </c>
      <c r="O119" s="271">
        <v>10.547673488019289</v>
      </c>
      <c r="P119" s="272">
        <v>8.274634913238657</v>
      </c>
      <c r="Q119" s="278">
        <v>49.527669568622457</v>
      </c>
      <c r="R119" s="338">
        <v>38.531668813915083</v>
      </c>
      <c r="S119" s="338">
        <f t="shared" si="78"/>
        <v>42.178244011642747</v>
      </c>
      <c r="AC119" t="s">
        <v>335</v>
      </c>
      <c r="AK119" s="299">
        <v>6</v>
      </c>
      <c r="AL119" s="300">
        <f>ROUND(AVERAGE(AL109:AL112),0)</f>
        <v>2</v>
      </c>
      <c r="AM119" s="313">
        <f>ROUND(AVERAGE(AM109:AM112),0)</f>
        <v>-2</v>
      </c>
      <c r="AN119" s="313">
        <f>ROUND(AVERAGE(AN109:AN112),0)</f>
        <v>1</v>
      </c>
      <c r="AO119" s="301">
        <f t="shared" ref="AO119:AR119" si="84">ROUND(AVERAGE(AO109:AO112),0)</f>
        <v>1</v>
      </c>
      <c r="AP119" s="301">
        <f t="shared" si="84"/>
        <v>-7</v>
      </c>
      <c r="AQ119" s="301">
        <f t="shared" si="84"/>
        <v>-19</v>
      </c>
      <c r="AR119" s="301">
        <f t="shared" si="84"/>
        <v>-24</v>
      </c>
      <c r="AS119" s="302">
        <f>ROUND(AVERAGE(AS109:AS112),0)</f>
        <v>-29</v>
      </c>
      <c r="AT119" s="3">
        <f t="array" ref="AT119">10*LOG10(SUM(10^((AL119:AS119+$AL$128:$AS$128)/10)))</f>
        <v>7.6372446207044309E-2</v>
      </c>
      <c r="AU119" s="10" t="str">
        <f t="shared" si="83"/>
        <v>OK</v>
      </c>
    </row>
    <row r="120" spans="2:47" ht="14.25" thickBot="1" x14ac:dyDescent="0.3">
      <c r="AC120" t="s">
        <v>337</v>
      </c>
      <c r="AD120" s="340">
        <f>AVERAGE(MAX(Tulostus!J40,Tulostus!L40),MAX(Tulostus!J40,Tulostus!L40),MIN(Tulostus!J40,Tulostus!L40))</f>
        <v>5.6773911648027635</v>
      </c>
      <c r="AE120" s="159" t="s">
        <v>321</v>
      </c>
      <c r="AF120" s="119" t="s">
        <v>185</v>
      </c>
      <c r="AG120" s="282">
        <f>AG114*LN(AD120)+AH114</f>
        <v>44.399758939178483</v>
      </c>
      <c r="AH120" s="6" t="s">
        <v>189</v>
      </c>
      <c r="AK120" s="303">
        <v>4</v>
      </c>
      <c r="AL120" s="304">
        <f>ROUND(AVERAGE(AL113:AL116),0)</f>
        <v>9</v>
      </c>
      <c r="AM120" s="314">
        <f>ROUND(AVERAGE(AM113:AM116),0)</f>
        <v>3</v>
      </c>
      <c r="AN120" s="314">
        <f>ROUND(AVERAGE(AN113:AN116),0)</f>
        <v>4</v>
      </c>
      <c r="AO120" s="305">
        <f t="shared" ref="AO120:AR120" si="85">ROUND(AVERAGE(AO113:AO116),0)</f>
        <v>-1</v>
      </c>
      <c r="AP120" s="305">
        <f t="shared" si="85"/>
        <v>-6</v>
      </c>
      <c r="AQ120" s="305">
        <f t="shared" si="85"/>
        <v>-16</v>
      </c>
      <c r="AR120" s="305">
        <f t="shared" si="85"/>
        <v>-27</v>
      </c>
      <c r="AS120" s="306">
        <f>ROUND(AVERAGE(AS113:AS116),0)</f>
        <v>-30</v>
      </c>
      <c r="AT120" s="3">
        <f t="array" ref="AT120">10*LOG10(SUM(10^((AL120:AS120+$AL$128:$AS$128)/10)))</f>
        <v>0.34447412628782359</v>
      </c>
      <c r="AU120" s="10" t="str">
        <f t="shared" si="83"/>
        <v>OK</v>
      </c>
    </row>
    <row r="121" spans="2:47" x14ac:dyDescent="0.25">
      <c r="AC121" t="s">
        <v>336</v>
      </c>
      <c r="AD121" s="340">
        <f>MAX(Tulostus!J40,Tulostus!L40)</f>
        <v>5.7887003716107381</v>
      </c>
      <c r="AE121" s="159" t="s">
        <v>321</v>
      </c>
      <c r="AF121" s="119" t="s">
        <v>185</v>
      </c>
      <c r="AG121" s="282">
        <f>AG114*LN(AD121)+AH114</f>
        <v>44.757897733463182</v>
      </c>
      <c r="AH121" s="6" t="s">
        <v>189</v>
      </c>
      <c r="AK121" s="310" t="s">
        <v>184</v>
      </c>
      <c r="AL121" s="311" cm="1">
        <f t="array" ref="AL121">INDEX(AL117:AL120,MIN($AW$73,$AW$25))</f>
        <v>2</v>
      </c>
      <c r="AM121" s="311" cm="1">
        <f t="array" ref="AM121">INDEX(AM117:AM120,MIN($AW$73,$AW$25))</f>
        <v>-2</v>
      </c>
      <c r="AN121" s="311" cm="1">
        <f t="array" ref="AN121">INDEX(AN117:AN120,MIN($AW$73,$AW$25))</f>
        <v>1</v>
      </c>
      <c r="AO121" s="311" cm="1">
        <f t="array" ref="AO121">INDEX(AO117:AO120,MIN($AW$73,$AW$25))</f>
        <v>1</v>
      </c>
      <c r="AP121" s="311" cm="1">
        <f t="array" ref="AP121">INDEX(AP117:AP120,MIN($AW$73,$AW$25))</f>
        <v>-7</v>
      </c>
      <c r="AQ121" s="311" cm="1">
        <f t="array" ref="AQ121">INDEX(AQ117:AQ120,MIN($AW$73,$AW$25))</f>
        <v>-19</v>
      </c>
      <c r="AR121" s="311" cm="1">
        <f t="array" ref="AR121">INDEX(AR117:AR120,MIN($AW$73,$AW$25))</f>
        <v>-24</v>
      </c>
      <c r="AS121" s="311" cm="1">
        <f t="array" ref="AS121">INDEX(AS117:AS120,MIN($AW$73,$AW$25))</f>
        <v>-29</v>
      </c>
      <c r="AT121" s="166" t="s">
        <v>188</v>
      </c>
      <c r="AU121" s="130" t="s">
        <v>331</v>
      </c>
    </row>
    <row r="122" spans="2:47" x14ac:dyDescent="0.25">
      <c r="AK122" s="158" t="s">
        <v>329</v>
      </c>
      <c r="AL122" s="307">
        <f>$AE$131+AL121</f>
        <v>46</v>
      </c>
      <c r="AM122" s="307">
        <f t="shared" ref="AM122:AS122" si="86">$AE$131+AM121</f>
        <v>42</v>
      </c>
      <c r="AN122" s="307">
        <f t="shared" si="86"/>
        <v>45</v>
      </c>
      <c r="AO122" s="307">
        <f t="shared" si="86"/>
        <v>45</v>
      </c>
      <c r="AP122" s="307">
        <f t="shared" si="86"/>
        <v>37</v>
      </c>
      <c r="AQ122" s="307">
        <f t="shared" si="86"/>
        <v>25</v>
      </c>
      <c r="AR122" s="307">
        <f t="shared" si="86"/>
        <v>20</v>
      </c>
      <c r="AS122" s="307">
        <f t="shared" si="86"/>
        <v>15</v>
      </c>
      <c r="AT122" s="309">
        <f t="array" ref="AT122">10*LOG10(SUM(10^(AL122:AS122/10)))</f>
        <v>50.946979125106836</v>
      </c>
      <c r="AU122" s="309">
        <f t="array" ref="AU122">10*LOG10(SUM(10^((AL122:AS122+$AL$128:$AS$128)/10)))</f>
        <v>44.076372446207053</v>
      </c>
    </row>
    <row r="123" spans="2:47" x14ac:dyDescent="0.25">
      <c r="AC123" s="6" t="s">
        <v>339</v>
      </c>
    </row>
    <row r="124" spans="2:47" x14ac:dyDescent="0.25">
      <c r="AC124" t="s">
        <v>191</v>
      </c>
      <c r="AE124" s="1">
        <f>ABS(AU50-AU74)</f>
        <v>1.077270180389398</v>
      </c>
      <c r="AF124" t="s">
        <v>189</v>
      </c>
    </row>
    <row r="125" spans="2:47" x14ac:dyDescent="0.25">
      <c r="AC125" s="18" t="s">
        <v>192</v>
      </c>
      <c r="AD125" s="18"/>
      <c r="AE125" s="341">
        <f>ABS(AU26-AU98)</f>
        <v>1.3452322145988376</v>
      </c>
      <c r="AF125" t="s">
        <v>189</v>
      </c>
    </row>
    <row r="126" spans="2:47" x14ac:dyDescent="0.25">
      <c r="AC126" s="19" t="s">
        <v>193</v>
      </c>
      <c r="AD126" s="19"/>
      <c r="AE126" s="342">
        <f>AVERAGE(AE124:AE125)</f>
        <v>1.2112511974941178</v>
      </c>
      <c r="AF126" t="s">
        <v>189</v>
      </c>
    </row>
    <row r="127" spans="2:47" x14ac:dyDescent="0.25">
      <c r="AC127" t="s">
        <v>194</v>
      </c>
      <c r="AE127" s="10">
        <f>-10*LOG10((1-10^(-AE126/10)))-3</f>
        <v>3.1370598369574205</v>
      </c>
      <c r="AF127" t="s">
        <v>189</v>
      </c>
    </row>
    <row r="128" spans="2:47" x14ac:dyDescent="0.25">
      <c r="AC128" t="s">
        <v>195</v>
      </c>
      <c r="AE128" s="10">
        <f>AG120+AE127</f>
        <v>47.536818776135902</v>
      </c>
      <c r="AF128" t="s">
        <v>189</v>
      </c>
      <c r="AK128" t="s">
        <v>328</v>
      </c>
      <c r="AL128" s="4">
        <v>-26.2</v>
      </c>
      <c r="AM128" s="4">
        <v>-16.100000000000001</v>
      </c>
      <c r="AN128" s="4">
        <v>-8.6</v>
      </c>
      <c r="AO128" s="4">
        <v>-3.2</v>
      </c>
      <c r="AP128" s="4">
        <v>0</v>
      </c>
      <c r="AQ128" s="4">
        <v>1.2</v>
      </c>
      <c r="AR128" s="4">
        <v>1</v>
      </c>
      <c r="AS128" s="4">
        <v>-1.1000000000000001</v>
      </c>
    </row>
    <row r="129" spans="29:47" x14ac:dyDescent="0.25">
      <c r="AC129" t="s">
        <v>196</v>
      </c>
      <c r="AE129" s="10">
        <f>AG120-2.6</f>
        <v>41.799758939178481</v>
      </c>
      <c r="AF129" t="s">
        <v>189</v>
      </c>
    </row>
    <row r="131" spans="29:47" x14ac:dyDescent="0.25">
      <c r="AC131" s="6" t="s">
        <v>184</v>
      </c>
      <c r="AD131" s="6" t="s">
        <v>185</v>
      </c>
      <c r="AE131" s="162">
        <f>ROUND(MIN(AG120,IF(AE126&lt;3,AG121,IF(AE126&gt;10,AE129,AE128))),0)</f>
        <v>44</v>
      </c>
      <c r="AF131" s="6" t="s">
        <v>189</v>
      </c>
      <c r="AK131" t="s">
        <v>4</v>
      </c>
      <c r="AL131" t="b">
        <f>'Laskenta tulopuoli'!N134</f>
        <v>1</v>
      </c>
    </row>
    <row r="132" spans="29:47" x14ac:dyDescent="0.25">
      <c r="AK132" t="s">
        <v>9</v>
      </c>
      <c r="AL132" t="b">
        <f>'Laskenta tulopuoli'!N134</f>
        <v>1</v>
      </c>
    </row>
    <row r="134" spans="29:47" x14ac:dyDescent="0.25">
      <c r="AK134" s="6" t="s">
        <v>340</v>
      </c>
    </row>
    <row r="135" spans="29:47" ht="15.75" x14ac:dyDescent="0.3">
      <c r="AK135" s="561" t="s">
        <v>202</v>
      </c>
      <c r="AL135" s="565" t="s">
        <v>175</v>
      </c>
      <c r="AM135" s="565"/>
      <c r="AN135" s="565"/>
      <c r="AO135" s="565"/>
      <c r="AP135" s="565"/>
      <c r="AQ135" s="565"/>
      <c r="AR135" s="565"/>
      <c r="AS135" s="565"/>
      <c r="AT135" s="566" t="s">
        <v>197</v>
      </c>
      <c r="AU135" s="566" t="s">
        <v>198</v>
      </c>
    </row>
    <row r="136" spans="29:47" x14ac:dyDescent="0.25">
      <c r="AK136" s="561"/>
      <c r="AL136" s="163" t="s">
        <v>162</v>
      </c>
      <c r="AM136" s="164" t="s">
        <v>163</v>
      </c>
      <c r="AN136" s="164" t="s">
        <v>164</v>
      </c>
      <c r="AO136" s="164" t="s">
        <v>165</v>
      </c>
      <c r="AP136" s="164" t="s">
        <v>166</v>
      </c>
      <c r="AQ136" s="164" t="s">
        <v>167</v>
      </c>
      <c r="AR136" s="164" t="s">
        <v>168</v>
      </c>
      <c r="AS136" s="165" t="s">
        <v>169</v>
      </c>
      <c r="AT136" s="565"/>
      <c r="AU136" s="565"/>
    </row>
    <row r="137" spans="29:47" x14ac:dyDescent="0.25">
      <c r="AK137" s="315" t="s">
        <v>203</v>
      </c>
      <c r="AL137" s="316">
        <f>IF($AL$131,AL26,"-")</f>
        <v>62.781767929593748</v>
      </c>
      <c r="AM137" s="316">
        <f t="shared" ref="AM137:AT137" si="87">IF($AL$131,AM26,"-")</f>
        <v>62.781767929593748</v>
      </c>
      <c r="AN137" s="316">
        <f t="shared" si="87"/>
        <v>65.781767929593741</v>
      </c>
      <c r="AO137" s="316">
        <f t="shared" si="87"/>
        <v>59.781767929593748</v>
      </c>
      <c r="AP137" s="316">
        <f t="shared" si="87"/>
        <v>51.781767929593748</v>
      </c>
      <c r="AQ137" s="316">
        <f t="shared" si="87"/>
        <v>50.781767929593748</v>
      </c>
      <c r="AR137" s="316">
        <f t="shared" si="87"/>
        <v>46.781767929593748</v>
      </c>
      <c r="AS137" s="316">
        <f t="shared" si="87"/>
        <v>35.781767929593748</v>
      </c>
      <c r="AT137" s="316">
        <f t="shared" si="87"/>
        <v>69.471301120615038</v>
      </c>
      <c r="AU137" s="317">
        <f>IF($AL$131,AG21,"-")</f>
        <v>61.781767929593748</v>
      </c>
    </row>
    <row r="138" spans="29:47" x14ac:dyDescent="0.25">
      <c r="AK138" s="318" t="s">
        <v>204</v>
      </c>
      <c r="AL138" s="319">
        <f>IF($AL$131,AL50,"-")</f>
        <v>58.363315810427771</v>
      </c>
      <c r="AM138" s="319">
        <f t="shared" ref="AM138:AT138" si="88">IF($AL$131,AM50,"-")</f>
        <v>58.363315810427771</v>
      </c>
      <c r="AN138" s="319">
        <f t="shared" si="88"/>
        <v>56.363315810427771</v>
      </c>
      <c r="AO138" s="319">
        <f t="shared" si="88"/>
        <v>56.363315810427771</v>
      </c>
      <c r="AP138" s="319">
        <f t="shared" si="88"/>
        <v>46.363315810427771</v>
      </c>
      <c r="AQ138" s="319">
        <f t="shared" si="88"/>
        <v>43.363315810427771</v>
      </c>
      <c r="AR138" s="319">
        <f t="shared" si="88"/>
        <v>32.363315810427771</v>
      </c>
      <c r="AS138" s="319">
        <f t="shared" si="88"/>
        <v>23.363315810427771</v>
      </c>
      <c r="AT138" s="319">
        <f t="shared" si="88"/>
        <v>63.62601225390128</v>
      </c>
      <c r="AU138" s="320">
        <f>IF($AL$131,AG45,"-")</f>
        <v>55.363315810427771</v>
      </c>
    </row>
    <row r="139" spans="29:47" x14ac:dyDescent="0.25">
      <c r="AK139" s="321" t="s">
        <v>205</v>
      </c>
      <c r="AL139" s="322">
        <f>IF($AL$132,AL74,"-")</f>
        <v>59.127289746229252</v>
      </c>
      <c r="AM139" s="322">
        <f t="shared" ref="AM139:AT139" si="89">IF($AL$132,AM74,"-")</f>
        <v>58.127289746229252</v>
      </c>
      <c r="AN139" s="322">
        <f t="shared" si="89"/>
        <v>57.127289746229252</v>
      </c>
      <c r="AO139" s="322">
        <f t="shared" si="89"/>
        <v>58.127289746229252</v>
      </c>
      <c r="AP139" s="322">
        <f t="shared" si="89"/>
        <v>47.127289746229252</v>
      </c>
      <c r="AQ139" s="322">
        <f t="shared" si="89"/>
        <v>38.127289746229252</v>
      </c>
      <c r="AR139" s="322">
        <f t="shared" si="89"/>
        <v>26.127289746229252</v>
      </c>
      <c r="AS139" s="322">
        <f t="shared" si="89"/>
        <v>18.127289746229252</v>
      </c>
      <c r="AT139" s="322">
        <f t="shared" si="89"/>
        <v>64.300876629915095</v>
      </c>
      <c r="AU139" s="325">
        <f>IF($AL$132,AG69,"-")</f>
        <v>56.127289746229252</v>
      </c>
    </row>
    <row r="140" spans="29:47" x14ac:dyDescent="0.25">
      <c r="AK140" s="318" t="s">
        <v>206</v>
      </c>
      <c r="AL140" s="319">
        <f>IF($AL$132,AL98,"-")</f>
        <v>64.745864182903034</v>
      </c>
      <c r="AM140" s="319">
        <f t="shared" ref="AM140:AT140" si="90">IF($AL$132,AM98,"-")</f>
        <v>64.745864182903034</v>
      </c>
      <c r="AN140" s="319">
        <f t="shared" si="90"/>
        <v>66.745864182903034</v>
      </c>
      <c r="AO140" s="319">
        <f t="shared" si="90"/>
        <v>60.745864182903034</v>
      </c>
      <c r="AP140" s="319">
        <f t="shared" si="90"/>
        <v>54.745864182903034</v>
      </c>
      <c r="AQ140" s="319">
        <f t="shared" si="90"/>
        <v>52.745864182903034</v>
      </c>
      <c r="AR140" s="319">
        <f t="shared" si="90"/>
        <v>46.745864182903034</v>
      </c>
      <c r="AS140" s="319">
        <f t="shared" si="90"/>
        <v>33.745864182903034</v>
      </c>
      <c r="AT140" s="319">
        <f t="shared" si="90"/>
        <v>70.939656374667223</v>
      </c>
      <c r="AU140" s="320">
        <f>IF($AL$132,AG93,"-")</f>
        <v>62.745864182903034</v>
      </c>
    </row>
    <row r="141" spans="29:47" x14ac:dyDescent="0.25">
      <c r="AK141" s="328" t="s">
        <v>200</v>
      </c>
      <c r="AL141" s="329">
        <f>IF(AND($AL$131,$AL$132),AL122,"-")</f>
        <v>46</v>
      </c>
      <c r="AM141" s="329">
        <f t="shared" ref="AM141:AT141" si="91">IF(AND($AL$131,$AL$132),AM122,"-")</f>
        <v>42</v>
      </c>
      <c r="AN141" s="330">
        <f t="shared" si="91"/>
        <v>45</v>
      </c>
      <c r="AO141" s="329">
        <f t="shared" si="91"/>
        <v>45</v>
      </c>
      <c r="AP141" s="330">
        <f t="shared" si="91"/>
        <v>37</v>
      </c>
      <c r="AQ141" s="331">
        <f t="shared" si="91"/>
        <v>25</v>
      </c>
      <c r="AR141" s="329">
        <f t="shared" si="91"/>
        <v>20</v>
      </c>
      <c r="AS141" s="330">
        <f t="shared" si="91"/>
        <v>15</v>
      </c>
      <c r="AT141" s="330">
        <f t="shared" si="91"/>
        <v>50.946979125106836</v>
      </c>
      <c r="AU141" s="332">
        <f>IF(AND($AL$131,$AL$132),AE131,"-")</f>
        <v>44</v>
      </c>
    </row>
  </sheetData>
  <mergeCells count="125">
    <mergeCell ref="AK135:AK136"/>
    <mergeCell ref="AL135:AS135"/>
    <mergeCell ref="AT135:AT136"/>
    <mergeCell ref="AU135:AU136"/>
    <mergeCell ref="B53:D53"/>
    <mergeCell ref="E53:G53"/>
    <mergeCell ref="H53:H55"/>
    <mergeCell ref="I53:P53"/>
    <mergeCell ref="K54:K55"/>
    <mergeCell ref="L54:L55"/>
    <mergeCell ref="R53:R55"/>
    <mergeCell ref="B54:B55"/>
    <mergeCell ref="C54:C55"/>
    <mergeCell ref="D54:D55"/>
    <mergeCell ref="E54:E55"/>
    <mergeCell ref="F54:F55"/>
    <mergeCell ref="G54:G55"/>
    <mergeCell ref="I54:I55"/>
    <mergeCell ref="J54:J55"/>
    <mergeCell ref="M54:M55"/>
    <mergeCell ref="N54:N55"/>
    <mergeCell ref="O54:O55"/>
    <mergeCell ref="P54:P55"/>
    <mergeCell ref="Q53:Q55"/>
    <mergeCell ref="Q29:Q31"/>
    <mergeCell ref="R29:R31"/>
    <mergeCell ref="B30:B31"/>
    <mergeCell ref="C30:C31"/>
    <mergeCell ref="D30:D31"/>
    <mergeCell ref="E30:E31"/>
    <mergeCell ref="F30:F31"/>
    <mergeCell ref="G30:G31"/>
    <mergeCell ref="I30:I31"/>
    <mergeCell ref="J30:J31"/>
    <mergeCell ref="M30:M31"/>
    <mergeCell ref="N30:N31"/>
    <mergeCell ref="O30:O31"/>
    <mergeCell ref="P30:P31"/>
    <mergeCell ref="B29:D29"/>
    <mergeCell ref="E29:G29"/>
    <mergeCell ref="H29:H31"/>
    <mergeCell ref="I29:P29"/>
    <mergeCell ref="K30:K31"/>
    <mergeCell ref="L30:L31"/>
    <mergeCell ref="B5:D5"/>
    <mergeCell ref="E5:G5"/>
    <mergeCell ref="H5:H7"/>
    <mergeCell ref="I5:P5"/>
    <mergeCell ref="Q5:Q7"/>
    <mergeCell ref="M6:M7"/>
    <mergeCell ref="N6:N7"/>
    <mergeCell ref="O6:O7"/>
    <mergeCell ref="P6:P7"/>
    <mergeCell ref="F6:F7"/>
    <mergeCell ref="G6:G7"/>
    <mergeCell ref="I6:I7"/>
    <mergeCell ref="J6:J7"/>
    <mergeCell ref="K6:K7"/>
    <mergeCell ref="L6:L7"/>
    <mergeCell ref="C6:C7"/>
    <mergeCell ref="D6:D7"/>
    <mergeCell ref="E6:E7"/>
    <mergeCell ref="AK5:AK8"/>
    <mergeCell ref="AK9:AK12"/>
    <mergeCell ref="R77:R79"/>
    <mergeCell ref="B78:B79"/>
    <mergeCell ref="C78:C79"/>
    <mergeCell ref="D78:D79"/>
    <mergeCell ref="E78:E79"/>
    <mergeCell ref="F78:F79"/>
    <mergeCell ref="G78:G79"/>
    <mergeCell ref="I78:I79"/>
    <mergeCell ref="J78:J79"/>
    <mergeCell ref="K78:K79"/>
    <mergeCell ref="L78:L79"/>
    <mergeCell ref="M78:M79"/>
    <mergeCell ref="N78:N79"/>
    <mergeCell ref="O78:O79"/>
    <mergeCell ref="P78:P79"/>
    <mergeCell ref="B77:D77"/>
    <mergeCell ref="E77:G77"/>
    <mergeCell ref="H77:H79"/>
    <mergeCell ref="I77:P77"/>
    <mergeCell ref="Q77:Q79"/>
    <mergeCell ref="R5:R7"/>
    <mergeCell ref="B6:B7"/>
    <mergeCell ref="AK41:AK44"/>
    <mergeCell ref="AK53:AK56"/>
    <mergeCell ref="AK57:AK60"/>
    <mergeCell ref="AK61:AK64"/>
    <mergeCell ref="AK65:AK68"/>
    <mergeCell ref="AK13:AK16"/>
    <mergeCell ref="AK17:AK20"/>
    <mergeCell ref="AK29:AK32"/>
    <mergeCell ref="AK33:AK36"/>
    <mergeCell ref="AK37:AK40"/>
    <mergeCell ref="AK77:AK80"/>
    <mergeCell ref="AK81:AK84"/>
    <mergeCell ref="AK85:AK88"/>
    <mergeCell ref="AK89:AK92"/>
    <mergeCell ref="B101:D101"/>
    <mergeCell ref="E101:G101"/>
    <mergeCell ref="H101:H103"/>
    <mergeCell ref="I101:P101"/>
    <mergeCell ref="Q101:Q103"/>
    <mergeCell ref="R101:R103"/>
    <mergeCell ref="AK101:AK104"/>
    <mergeCell ref="B102:B103"/>
    <mergeCell ref="C102:C103"/>
    <mergeCell ref="D102:D103"/>
    <mergeCell ref="E102:E103"/>
    <mergeCell ref="F102:F103"/>
    <mergeCell ref="AK109:AK112"/>
    <mergeCell ref="AK113:AK116"/>
    <mergeCell ref="S102:S103"/>
    <mergeCell ref="M102:M103"/>
    <mergeCell ref="N102:N103"/>
    <mergeCell ref="O102:O103"/>
    <mergeCell ref="P102:P103"/>
    <mergeCell ref="AK105:AK108"/>
    <mergeCell ref="G102:G103"/>
    <mergeCell ref="I102:I103"/>
    <mergeCell ref="J102:J103"/>
    <mergeCell ref="K102:K103"/>
    <mergeCell ref="L102:L103"/>
  </mergeCells>
  <phoneticPr fontId="3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150AD-0AD8-4F7E-BE16-022E7822F4D5}">
  <sheetPr>
    <pageSetUpPr fitToPage="1"/>
  </sheetPr>
  <dimension ref="B1:Z46"/>
  <sheetViews>
    <sheetView showGridLines="0" zoomScale="85" zoomScaleNormal="85" workbookViewId="0">
      <selection activeCell="B26" sqref="B26"/>
    </sheetView>
  </sheetViews>
  <sheetFormatPr defaultRowHeight="13.5" x14ac:dyDescent="0.25"/>
  <cols>
    <col min="1" max="1" width="6.42578125" customWidth="1"/>
    <col min="2" max="2" width="3" customWidth="1"/>
    <col min="3" max="3" width="18.85546875" customWidth="1"/>
    <col min="4" max="4" width="9.140625" customWidth="1"/>
    <col min="6" max="6" width="9.140625" customWidth="1"/>
    <col min="13" max="14" width="6.42578125" customWidth="1"/>
    <col min="15" max="15" width="14.85546875" customWidth="1"/>
    <col min="17" max="18" width="13.140625" bestFit="1" customWidth="1"/>
    <col min="19" max="19" width="11.5703125" bestFit="1" customWidth="1"/>
    <col min="20" max="20" width="12.5703125" bestFit="1" customWidth="1"/>
    <col min="22" max="22" width="9.28515625" bestFit="1" customWidth="1"/>
    <col min="23" max="23" width="12.28515625" bestFit="1" customWidth="1"/>
    <col min="24" max="24" width="9.5703125" bestFit="1" customWidth="1"/>
    <col min="25" max="25" width="9.28515625" bestFit="1" customWidth="1"/>
    <col min="27" max="27" width="9.42578125" bestFit="1" customWidth="1"/>
    <col min="28" max="28" width="9.28515625" bestFit="1" customWidth="1"/>
    <col min="29" max="29" width="10.42578125" bestFit="1" customWidth="1"/>
    <col min="30" max="30" width="9.42578125" bestFit="1" customWidth="1"/>
    <col min="33" max="33" width="9.42578125" bestFit="1" customWidth="1"/>
    <col min="36" max="36" width="9.42578125" bestFit="1" customWidth="1"/>
    <col min="39" max="39" width="9.42578125" bestFit="1" customWidth="1"/>
  </cols>
  <sheetData>
    <row r="1" spans="2:26" ht="6.75" customHeight="1" x14ac:dyDescent="0.25"/>
    <row r="3" spans="2:26" x14ac:dyDescent="0.25">
      <c r="P3" s="6" t="s">
        <v>19</v>
      </c>
    </row>
    <row r="4" spans="2:26" x14ac:dyDescent="0.25">
      <c r="B4" s="29"/>
      <c r="C4" s="168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  <c r="O4" s="30"/>
      <c r="W4" t="s">
        <v>69</v>
      </c>
      <c r="Y4" s="10">
        <f>L24</f>
        <v>-42.037854522146702</v>
      </c>
      <c r="Z4" s="16" t="str">
        <f>INDEX(W6:W13,IF($Y$4&lt;Y6,1,MATCH(Y4,Y6:Y13)+1))</f>
        <v>A+</v>
      </c>
    </row>
    <row r="5" spans="2:26" ht="15" x14ac:dyDescent="0.3">
      <c r="B5" s="30"/>
      <c r="J5" s="4" t="s">
        <v>4</v>
      </c>
      <c r="L5" s="4" t="s">
        <v>9</v>
      </c>
      <c r="N5" s="22"/>
      <c r="O5" s="30"/>
      <c r="P5" t="s">
        <v>24</v>
      </c>
      <c r="Q5">
        <v>8760</v>
      </c>
    </row>
    <row r="6" spans="2:26" x14ac:dyDescent="0.25">
      <c r="B6" s="30"/>
      <c r="C6" s="17" t="s">
        <v>15</v>
      </c>
      <c r="D6" s="18"/>
      <c r="E6" s="18"/>
      <c r="F6" s="18"/>
      <c r="G6" s="18"/>
      <c r="H6" s="18"/>
      <c r="I6" s="37" t="s">
        <v>71</v>
      </c>
      <c r="J6" s="38">
        <f>Tulostus!J36</f>
        <v>84</v>
      </c>
      <c r="K6" s="18" t="s">
        <v>10</v>
      </c>
      <c r="L6" s="38">
        <f>Tulostus!L36</f>
        <v>84</v>
      </c>
      <c r="M6" t="s">
        <v>10</v>
      </c>
      <c r="N6" s="22"/>
      <c r="O6" s="30"/>
      <c r="P6" t="s">
        <v>20</v>
      </c>
      <c r="Q6">
        <v>2.5</v>
      </c>
      <c r="W6" s="29" t="s">
        <v>65</v>
      </c>
      <c r="X6" s="20"/>
      <c r="Y6" s="20">
        <v>-42</v>
      </c>
      <c r="Z6" s="21">
        <f>IF($Y$4&lt;Y6,1,0)</f>
        <v>1</v>
      </c>
    </row>
    <row r="7" spans="2:26" ht="15" x14ac:dyDescent="0.3">
      <c r="B7" s="30"/>
      <c r="C7" s="17" t="s">
        <v>16</v>
      </c>
      <c r="D7" s="18"/>
      <c r="E7" s="18"/>
      <c r="F7" s="18"/>
      <c r="G7" s="18"/>
      <c r="H7" s="18"/>
      <c r="I7" s="37" t="s">
        <v>71</v>
      </c>
      <c r="J7" s="39">
        <f>Tulostus!J37</f>
        <v>50</v>
      </c>
      <c r="K7" s="18" t="s">
        <v>11</v>
      </c>
      <c r="L7" s="39">
        <f>Tulostus!L37</f>
        <v>50</v>
      </c>
      <c r="M7" t="s">
        <v>11</v>
      </c>
      <c r="N7" s="22"/>
      <c r="O7" s="30"/>
      <c r="P7" t="s">
        <v>25</v>
      </c>
      <c r="Q7">
        <v>1.3</v>
      </c>
      <c r="W7" s="32" t="s">
        <v>6</v>
      </c>
      <c r="X7" s="19">
        <v>-42</v>
      </c>
      <c r="Y7" s="19">
        <v>-34</v>
      </c>
      <c r="Z7" s="33">
        <f>IF(AND($Y$4&gt;=X7,$Y$4&lt;Y7),1,0)</f>
        <v>0</v>
      </c>
    </row>
    <row r="8" spans="2:26" x14ac:dyDescent="0.25">
      <c r="B8" s="30"/>
      <c r="N8" s="22"/>
      <c r="O8" s="30"/>
      <c r="P8" t="s">
        <v>21</v>
      </c>
      <c r="Q8" s="11">
        <f>INDEX(S24:S25,P23)</f>
        <v>1.1000000000000001</v>
      </c>
      <c r="R8" t="s">
        <v>53</v>
      </c>
      <c r="W8" s="30" t="s">
        <v>7</v>
      </c>
      <c r="X8">
        <v>-34</v>
      </c>
      <c r="Y8">
        <v>-26</v>
      </c>
      <c r="Z8" s="22">
        <f t="shared" ref="Z8:Z12" si="0">IF(AND($Y$4&gt;=X8,$Y$4&lt;Y8),1,0)</f>
        <v>0</v>
      </c>
    </row>
    <row r="9" spans="2:26" x14ac:dyDescent="0.25">
      <c r="B9" s="30"/>
      <c r="C9" s="6" t="s">
        <v>45</v>
      </c>
      <c r="N9" s="22"/>
      <c r="O9" s="30"/>
      <c r="P9" t="s">
        <v>22</v>
      </c>
      <c r="Q9" s="11">
        <f>INDEX(T29:T32,P28)</f>
        <v>0.65</v>
      </c>
      <c r="R9" t="s">
        <v>34</v>
      </c>
      <c r="W9" s="32" t="s">
        <v>8</v>
      </c>
      <c r="X9" s="19">
        <v>-26</v>
      </c>
      <c r="Y9" s="19">
        <v>-23</v>
      </c>
      <c r="Z9" s="33">
        <f t="shared" si="0"/>
        <v>0</v>
      </c>
    </row>
    <row r="10" spans="2:26" ht="18.75" customHeight="1" x14ac:dyDescent="0.25">
      <c r="B10" s="30"/>
      <c r="C10" s="18" t="s">
        <v>46</v>
      </c>
      <c r="D10" s="18"/>
      <c r="E10" s="18"/>
      <c r="F10" s="18"/>
      <c r="G10" s="18"/>
      <c r="H10" s="18"/>
      <c r="I10" s="18"/>
      <c r="J10" s="17"/>
      <c r="K10" s="18"/>
      <c r="L10" s="18"/>
      <c r="N10" s="22"/>
      <c r="O10" s="30"/>
      <c r="P10" t="s">
        <v>13</v>
      </c>
      <c r="Q10" s="11">
        <f>INDEX(T36:T39,P35)</f>
        <v>2</v>
      </c>
      <c r="R10" t="s">
        <v>33</v>
      </c>
      <c r="W10" s="30" t="s">
        <v>5</v>
      </c>
      <c r="X10">
        <v>-23</v>
      </c>
      <c r="Y10">
        <v>-20</v>
      </c>
      <c r="Z10" s="22">
        <f t="shared" si="0"/>
        <v>0</v>
      </c>
    </row>
    <row r="11" spans="2:26" ht="18.75" customHeight="1" x14ac:dyDescent="0.3">
      <c r="B11" s="30"/>
      <c r="C11" s="18" t="s">
        <v>47</v>
      </c>
      <c r="D11" s="18"/>
      <c r="E11" s="18"/>
      <c r="F11" s="18"/>
      <c r="G11" s="18"/>
      <c r="H11" s="18"/>
      <c r="I11" s="18"/>
      <c r="J11" s="18"/>
      <c r="K11" s="18"/>
      <c r="L11" s="18"/>
      <c r="N11" s="22"/>
      <c r="O11" s="30"/>
      <c r="P11" t="s">
        <v>26</v>
      </c>
      <c r="Q11" s="11">
        <f>INDEX(R44:R46,P43)</f>
        <v>5112</v>
      </c>
      <c r="W11" s="32" t="s">
        <v>66</v>
      </c>
      <c r="X11" s="19">
        <v>-20</v>
      </c>
      <c r="Y11" s="19">
        <v>-10</v>
      </c>
      <c r="Z11" s="33">
        <f t="shared" si="0"/>
        <v>0</v>
      </c>
    </row>
    <row r="12" spans="2:26" ht="18.75" customHeight="1" x14ac:dyDescent="0.3">
      <c r="B12" s="30"/>
      <c r="C12" s="18" t="s">
        <v>48</v>
      </c>
      <c r="D12" s="18"/>
      <c r="E12" s="18"/>
      <c r="F12" s="18"/>
      <c r="G12" s="18"/>
      <c r="H12" s="18"/>
      <c r="I12" s="18"/>
      <c r="J12" s="18"/>
      <c r="K12" s="18"/>
      <c r="L12" s="18"/>
      <c r="N12" s="22"/>
      <c r="O12" s="30"/>
      <c r="P12" t="s">
        <v>27</v>
      </c>
      <c r="Q12" s="11">
        <f>INDEX(S44:S46,P43)</f>
        <v>9.5</v>
      </c>
      <c r="W12" s="32" t="s">
        <v>67</v>
      </c>
      <c r="X12" s="19">
        <v>-10</v>
      </c>
      <c r="Y12" s="19">
        <v>0</v>
      </c>
      <c r="Z12" s="33">
        <f t="shared" si="0"/>
        <v>0</v>
      </c>
    </row>
    <row r="13" spans="2:26" ht="18.75" customHeight="1" x14ac:dyDescent="0.3">
      <c r="B13" s="30"/>
      <c r="C13" s="18" t="s">
        <v>49</v>
      </c>
      <c r="D13" s="18"/>
      <c r="E13" s="18"/>
      <c r="F13" s="18"/>
      <c r="G13" s="18"/>
      <c r="H13" s="18"/>
      <c r="I13" s="18"/>
      <c r="J13" s="18"/>
      <c r="K13" s="18"/>
      <c r="L13" s="18"/>
      <c r="N13" s="22"/>
      <c r="O13" s="30"/>
      <c r="P13" t="s">
        <v>28</v>
      </c>
      <c r="Q13">
        <v>0.75</v>
      </c>
      <c r="W13" s="31" t="s">
        <v>68</v>
      </c>
      <c r="X13" s="18">
        <v>0</v>
      </c>
      <c r="Y13" s="18"/>
      <c r="Z13" s="23">
        <f>IF($Y$4&gt;X13,1,0)</f>
        <v>0</v>
      </c>
    </row>
    <row r="14" spans="2:26" ht="15" x14ac:dyDescent="0.3">
      <c r="B14" s="30"/>
      <c r="C14" s="18" t="s">
        <v>50</v>
      </c>
      <c r="D14" s="18"/>
      <c r="E14" s="18"/>
      <c r="F14" s="18"/>
      <c r="G14" s="19"/>
      <c r="H14" s="18"/>
      <c r="I14" s="18"/>
      <c r="J14" s="18"/>
      <c r="K14" s="37" t="s">
        <v>71</v>
      </c>
      <c r="L14" s="555">
        <f>Tulostus!AA7</f>
        <v>0.84549847097053377</v>
      </c>
      <c r="N14" s="22"/>
      <c r="O14" s="30"/>
      <c r="P14" t="s">
        <v>29</v>
      </c>
      <c r="Q14">
        <v>3.4400000000000001E-4</v>
      </c>
    </row>
    <row r="15" spans="2:26" ht="15" x14ac:dyDescent="0.3">
      <c r="B15" s="30"/>
      <c r="N15" s="22"/>
      <c r="O15" s="30"/>
      <c r="P15" t="s">
        <v>30</v>
      </c>
      <c r="Q15">
        <v>2.2000000000000002</v>
      </c>
    </row>
    <row r="16" spans="2:26" ht="15" x14ac:dyDescent="0.3">
      <c r="B16" s="30"/>
      <c r="N16" s="22"/>
      <c r="O16" s="30"/>
      <c r="P16" t="s">
        <v>31</v>
      </c>
      <c r="Q16" s="410">
        <f>Y16</f>
        <v>0.84549847097053377</v>
      </c>
      <c r="R16" t="s">
        <v>398</v>
      </c>
      <c r="Y16" s="554">
        <v>0.84549847097053377</v>
      </c>
      <c r="Z16" s="505" t="s">
        <v>483</v>
      </c>
    </row>
    <row r="17" spans="2:24" ht="15" x14ac:dyDescent="0.3">
      <c r="B17" s="30"/>
      <c r="C17" s="6" t="s">
        <v>42</v>
      </c>
      <c r="J17" t="s">
        <v>0</v>
      </c>
      <c r="L17" t="s">
        <v>2</v>
      </c>
      <c r="N17" s="22"/>
      <c r="O17" s="30"/>
      <c r="P17" t="s">
        <v>32</v>
      </c>
      <c r="Q17" s="13">
        <f>Q18*Q19*Q14*Q7*Q6</f>
        <v>0.45077760000000011</v>
      </c>
    </row>
    <row r="18" spans="2:24" x14ac:dyDescent="0.25">
      <c r="B18" s="30"/>
      <c r="C18" s="18" t="s">
        <v>14</v>
      </c>
      <c r="D18" s="18"/>
      <c r="E18" s="18"/>
      <c r="F18" s="18"/>
      <c r="G18" s="18"/>
      <c r="H18" s="18"/>
      <c r="I18" s="18"/>
      <c r="J18" s="28">
        <f>Tulostus!J40</f>
        <v>5.7887003716107381</v>
      </c>
      <c r="K18" s="18" t="s">
        <v>12</v>
      </c>
      <c r="L18" s="28">
        <f>Tulostus!L40</f>
        <v>5.4547727511868134</v>
      </c>
      <c r="M18" t="s">
        <v>12</v>
      </c>
      <c r="N18" s="22"/>
      <c r="O18" s="30"/>
      <c r="P18" s="12" t="s">
        <v>38</v>
      </c>
      <c r="Q18">
        <f>INDEX(T44:T46,P43)</f>
        <v>168</v>
      </c>
    </row>
    <row r="19" spans="2:24" x14ac:dyDescent="0.25">
      <c r="B19" s="30"/>
      <c r="C19" s="18" t="s">
        <v>17</v>
      </c>
      <c r="D19" s="18"/>
      <c r="E19" s="18"/>
      <c r="F19" s="18"/>
      <c r="G19" s="18"/>
      <c r="H19" s="18"/>
      <c r="I19" s="18"/>
      <c r="J19" s="27">
        <f>Tulostus!J41</f>
        <v>49.722015378100927</v>
      </c>
      <c r="K19" s="18" t="s">
        <v>3</v>
      </c>
      <c r="L19" s="27">
        <f>Tulostus!L41</f>
        <v>42.772607881119079</v>
      </c>
      <c r="M19" t="s">
        <v>3</v>
      </c>
      <c r="N19" s="22"/>
      <c r="O19" s="30"/>
      <c r="P19" s="12" t="s">
        <v>39</v>
      </c>
      <c r="Q19">
        <f>INDEX(U44:U46,P43)</f>
        <v>2.4</v>
      </c>
    </row>
    <row r="20" spans="2:24" x14ac:dyDescent="0.25">
      <c r="B20" s="30"/>
      <c r="N20" s="22"/>
      <c r="O20" s="30"/>
      <c r="P20" t="s">
        <v>40</v>
      </c>
      <c r="Q20">
        <f>(L22/(MAX(L6,J6)*3.6))/1000</f>
        <v>3.2588169067202384E-4</v>
      </c>
      <c r="R20" t="s">
        <v>41</v>
      </c>
    </row>
    <row r="21" spans="2:24" x14ac:dyDescent="0.25">
      <c r="B21" s="30"/>
      <c r="N21" s="22"/>
      <c r="O21" s="30"/>
    </row>
    <row r="22" spans="2:24" x14ac:dyDescent="0.25">
      <c r="B22" s="30"/>
      <c r="C22" s="17" t="s">
        <v>18</v>
      </c>
      <c r="D22" s="18"/>
      <c r="E22" s="18"/>
      <c r="F22" s="18"/>
      <c r="G22" s="18"/>
      <c r="H22" s="18"/>
      <c r="I22" s="18"/>
      <c r="J22" s="18"/>
      <c r="K22" s="34"/>
      <c r="L22" s="353">
        <f>Tulostus!L43</f>
        <v>98.546623259220013</v>
      </c>
      <c r="M22" t="s">
        <v>3</v>
      </c>
      <c r="N22" s="22"/>
      <c r="O22" s="30"/>
      <c r="X22">
        <f>432*0.7</f>
        <v>302.39999999999998</v>
      </c>
    </row>
    <row r="23" spans="2:24" ht="15.75" x14ac:dyDescent="0.25">
      <c r="B23" s="30"/>
      <c r="C23" s="26" t="s">
        <v>1</v>
      </c>
      <c r="D23" s="18"/>
      <c r="E23" s="18"/>
      <c r="F23" s="18"/>
      <c r="G23" s="18"/>
      <c r="H23" s="18"/>
      <c r="I23" s="18"/>
      <c r="J23" s="19"/>
      <c r="K23" s="35"/>
      <c r="L23" s="354">
        <f>Tulostus!L44</f>
        <v>1.1731740864192859</v>
      </c>
      <c r="M23" t="s">
        <v>70</v>
      </c>
      <c r="N23" s="22"/>
      <c r="O23" s="30"/>
      <c r="P23" s="14">
        <v>1</v>
      </c>
      <c r="S23" s="15" t="s">
        <v>21</v>
      </c>
    </row>
    <row r="24" spans="2:24" x14ac:dyDescent="0.25">
      <c r="B24" s="30"/>
      <c r="C24" s="26" t="s">
        <v>43</v>
      </c>
      <c r="D24" s="18"/>
      <c r="E24" s="18"/>
      <c r="F24" s="18"/>
      <c r="G24" s="18"/>
      <c r="H24" s="18"/>
      <c r="I24" s="18"/>
      <c r="J24" s="19"/>
      <c r="K24" s="35"/>
      <c r="L24" s="353">
        <f>Q5*Q6*Q8*Q9^Q10*Q20-(Q11*Q12*Q13^(-1)*Q14*(Q15-(Q7*Q9*Q8*(1-Q16))))+Q17</f>
        <v>-42.037854522146702</v>
      </c>
      <c r="N24" s="22"/>
      <c r="P24" t="s">
        <v>51</v>
      </c>
      <c r="S24" s="166">
        <v>1.1000000000000001</v>
      </c>
    </row>
    <row r="25" spans="2:24" x14ac:dyDescent="0.25">
      <c r="B25" s="30"/>
      <c r="C25" s="17" t="s">
        <v>44</v>
      </c>
      <c r="D25" s="18"/>
      <c r="E25" s="18"/>
      <c r="F25" s="18"/>
      <c r="G25" s="18"/>
      <c r="H25" s="18"/>
      <c r="I25" s="18"/>
      <c r="J25" s="18"/>
      <c r="K25" s="18"/>
      <c r="L25" s="36" t="str">
        <f>Z4</f>
        <v>A+</v>
      </c>
      <c r="N25" s="22"/>
      <c r="P25" t="s">
        <v>52</v>
      </c>
      <c r="S25" s="166">
        <v>1.21</v>
      </c>
    </row>
    <row r="26" spans="2:24" x14ac:dyDescent="0.25">
      <c r="B26" s="30"/>
      <c r="N26" s="22"/>
    </row>
    <row r="27" spans="2:24" x14ac:dyDescent="0.25">
      <c r="B27" s="3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23"/>
    </row>
    <row r="28" spans="2:24" x14ac:dyDescent="0.25">
      <c r="P28" s="14">
        <v>4</v>
      </c>
      <c r="T28" s="15" t="s">
        <v>22</v>
      </c>
    </row>
    <row r="29" spans="2:24" x14ac:dyDescent="0.25">
      <c r="P29" t="s">
        <v>56</v>
      </c>
      <c r="T29" s="166">
        <v>1</v>
      </c>
    </row>
    <row r="30" spans="2:24" x14ac:dyDescent="0.25">
      <c r="P30" t="s">
        <v>57</v>
      </c>
      <c r="T30" s="166">
        <v>0.95</v>
      </c>
    </row>
    <row r="31" spans="2:24" x14ac:dyDescent="0.25">
      <c r="P31" t="s">
        <v>59</v>
      </c>
      <c r="T31" s="166">
        <v>0.85</v>
      </c>
    </row>
    <row r="32" spans="2:24" x14ac:dyDescent="0.25">
      <c r="P32" t="s">
        <v>58</v>
      </c>
      <c r="T32" s="166">
        <v>0.65</v>
      </c>
    </row>
    <row r="35" spans="12:22" x14ac:dyDescent="0.25">
      <c r="P35" s="14">
        <v>4</v>
      </c>
      <c r="T35" s="24" t="s">
        <v>64</v>
      </c>
    </row>
    <row r="36" spans="12:22" x14ac:dyDescent="0.25">
      <c r="P36" t="s">
        <v>60</v>
      </c>
      <c r="T36" s="166">
        <v>1</v>
      </c>
    </row>
    <row r="37" spans="12:22" x14ac:dyDescent="0.25">
      <c r="P37" t="s">
        <v>61</v>
      </c>
      <c r="T37" s="166">
        <v>1.2</v>
      </c>
    </row>
    <row r="38" spans="12:22" x14ac:dyDescent="0.25">
      <c r="P38" t="s">
        <v>62</v>
      </c>
      <c r="T38" s="166">
        <v>1.5</v>
      </c>
    </row>
    <row r="39" spans="12:22" x14ac:dyDescent="0.25">
      <c r="P39" t="s">
        <v>63</v>
      </c>
      <c r="T39" s="25">
        <v>2</v>
      </c>
    </row>
    <row r="43" spans="12:22" ht="15.75" x14ac:dyDescent="0.3">
      <c r="P43" s="14">
        <v>2</v>
      </c>
      <c r="R43" s="15" t="s">
        <v>54</v>
      </c>
      <c r="S43" s="15" t="s">
        <v>55</v>
      </c>
      <c r="T43" s="15" t="s">
        <v>38</v>
      </c>
      <c r="U43" s="15" t="s">
        <v>39</v>
      </c>
      <c r="V43" s="15" t="s">
        <v>23</v>
      </c>
    </row>
    <row r="44" spans="12:22" x14ac:dyDescent="0.25">
      <c r="P44" t="s">
        <v>35</v>
      </c>
      <c r="R44" s="166">
        <v>6552</v>
      </c>
      <c r="S44" s="166">
        <v>14.5</v>
      </c>
      <c r="T44" s="166">
        <v>1003</v>
      </c>
      <c r="U44" s="166">
        <v>5.2</v>
      </c>
      <c r="V44" s="166">
        <v>5.82</v>
      </c>
    </row>
    <row r="45" spans="12:22" x14ac:dyDescent="0.25">
      <c r="L45" s="4"/>
      <c r="P45" t="s">
        <v>36</v>
      </c>
      <c r="R45" s="166">
        <v>5112</v>
      </c>
      <c r="S45" s="166">
        <v>9.5</v>
      </c>
      <c r="T45" s="166">
        <v>168</v>
      </c>
      <c r="U45" s="166">
        <v>2.4</v>
      </c>
      <c r="V45" s="166">
        <v>0.45</v>
      </c>
    </row>
    <row r="46" spans="12:22" x14ac:dyDescent="0.25">
      <c r="P46" t="s">
        <v>37</v>
      </c>
      <c r="R46" s="166">
        <v>4392</v>
      </c>
      <c r="S46" s="166">
        <v>5</v>
      </c>
      <c r="T46" s="166">
        <v>0</v>
      </c>
      <c r="U46" s="166">
        <v>0</v>
      </c>
      <c r="V46" s="166">
        <v>0</v>
      </c>
    </row>
  </sheetData>
  <pageMargins left="0.25" right="0.25" top="0.75" bottom="0.75" header="0.3" footer="0.3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8</xdr:col>
                    <xdr:colOff>19050</xdr:colOff>
                    <xdr:row>12</xdr:row>
                    <xdr:rowOff>28575</xdr:rowOff>
                  </from>
                  <to>
                    <xdr:col>12</xdr:col>
                    <xdr:colOff>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8</xdr:col>
                    <xdr:colOff>28575</xdr:colOff>
                    <xdr:row>9</xdr:row>
                    <xdr:rowOff>0</xdr:rowOff>
                  </from>
                  <to>
                    <xdr:col>12</xdr:col>
                    <xdr:colOff>0</xdr:colOff>
                    <xdr:row>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8</xdr:col>
                    <xdr:colOff>19050</xdr:colOff>
                    <xdr:row>10</xdr:row>
                    <xdr:rowOff>28575</xdr:rowOff>
                  </from>
                  <to>
                    <xdr:col>12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8</xdr:col>
                    <xdr:colOff>28575</xdr:colOff>
                    <xdr:row>11</xdr:row>
                    <xdr:rowOff>19050</xdr:rowOff>
                  </from>
                  <to>
                    <xdr:col>12</xdr:col>
                    <xdr:colOff>0</xdr:colOff>
                    <xdr:row>11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12FFE-5B4F-47A6-A479-0C3B46DE080C}">
  <dimension ref="B3:AK70"/>
  <sheetViews>
    <sheetView workbookViewId="0">
      <selection activeCell="B26" sqref="B26"/>
    </sheetView>
  </sheetViews>
  <sheetFormatPr defaultRowHeight="13.5" x14ac:dyDescent="0.25"/>
  <cols>
    <col min="2" max="2" width="17" bestFit="1" customWidth="1"/>
    <col min="3" max="3" width="9.5703125" bestFit="1" customWidth="1"/>
    <col min="6" max="6" width="8.140625" style="52" customWidth="1"/>
    <col min="7" max="7" width="16.42578125" style="52" customWidth="1"/>
    <col min="8" max="8" width="10.85546875" style="52" bestFit="1" customWidth="1"/>
    <col min="9" max="9" width="10.85546875" style="52" customWidth="1"/>
    <col min="10" max="11" width="8.140625" style="52" customWidth="1"/>
    <col min="12" max="12" width="12.28515625" style="52" customWidth="1"/>
    <col min="13" max="13" width="8.140625" style="52" customWidth="1"/>
    <col min="14" max="14" width="11.5703125" style="52" customWidth="1"/>
    <col min="15" max="15" width="15.7109375" style="52" customWidth="1"/>
    <col min="19" max="19" width="13.5703125" customWidth="1"/>
    <col min="20" max="20" width="12" customWidth="1"/>
  </cols>
  <sheetData>
    <row r="3" spans="2:37" x14ac:dyDescent="0.25">
      <c r="B3" s="6" t="s">
        <v>74</v>
      </c>
      <c r="F3" s="43">
        <f>C19</f>
        <v>-26</v>
      </c>
      <c r="G3" s="44"/>
      <c r="H3" s="43">
        <f t="shared" ref="H3" si="0">$C$12</f>
        <v>21</v>
      </c>
      <c r="I3" s="45">
        <f t="shared" ref="I3" si="1">MAX(J3:K3)</f>
        <v>-5</v>
      </c>
      <c r="J3" s="46">
        <f t="shared" ref="J3" si="2">IF(M3-$C$8*$C$10*(M3-F3)&lt;$C$11,$C$11,M3-$C$8*$C$10*(M3-F3))</f>
        <v>-5</v>
      </c>
      <c r="K3" s="46">
        <f t="shared" ref="K3" si="3">M3-P3*Q3*(M3-F3)</f>
        <v>-5</v>
      </c>
      <c r="L3" s="46">
        <f t="shared" ref="L3" si="4">M3-T3*(M3-F3)</f>
        <v>20</v>
      </c>
      <c r="M3" s="47">
        <f t="shared" ref="M3" si="5">$C$5</f>
        <v>20</v>
      </c>
      <c r="N3" s="46">
        <f>MIN(F3+R3/P3*(M3-F3),H3)</f>
        <v>-1</v>
      </c>
      <c r="O3" s="48"/>
      <c r="P3" s="49">
        <f t="shared" ref="P3" si="6">$C$8</f>
        <v>1</v>
      </c>
      <c r="Q3" s="50">
        <f t="shared" ref="Q3" si="7">MIN(R3/P3,(H3-F3)/(M3-F3))</f>
        <v>0.54347826086956519</v>
      </c>
      <c r="R3" s="51">
        <f t="shared" ref="R3" si="8">(M3-J3)/(M3-F3)</f>
        <v>0.54347826086956519</v>
      </c>
    </row>
    <row r="4" spans="2:37" ht="15" x14ac:dyDescent="0.25">
      <c r="B4" s="6" t="s">
        <v>75</v>
      </c>
      <c r="N4" s="545"/>
      <c r="T4" s="53" t="s">
        <v>76</v>
      </c>
      <c r="U4" s="54">
        <f>SUM(U6:U50)</f>
        <v>4701.7500000000009</v>
      </c>
      <c r="V4" s="54">
        <f>SUM(V6:V50)</f>
        <v>3914.2583596617101</v>
      </c>
      <c r="W4" s="54">
        <f>SUM(W6:W50)</f>
        <v>3914.2583596617101</v>
      </c>
      <c r="AC4" s="4"/>
      <c r="AD4" s="608" t="s">
        <v>77</v>
      </c>
      <c r="AE4" s="609"/>
      <c r="AF4" s="609"/>
      <c r="AG4" s="610"/>
      <c r="AH4" s="611" t="s">
        <v>362</v>
      </c>
      <c r="AI4" s="612"/>
      <c r="AJ4" s="612"/>
      <c r="AK4" s="613"/>
    </row>
    <row r="5" spans="2:37" ht="15.75" x14ac:dyDescent="0.25">
      <c r="B5" s="29" t="s">
        <v>78</v>
      </c>
      <c r="C5" s="55">
        <f>Tulostus!L64</f>
        <v>20</v>
      </c>
      <c r="D5" s="21" t="s">
        <v>79</v>
      </c>
      <c r="F5" s="56" t="s">
        <v>80</v>
      </c>
      <c r="G5" s="57" t="s">
        <v>81</v>
      </c>
      <c r="H5" s="56" t="s">
        <v>82</v>
      </c>
      <c r="I5" s="58" t="s">
        <v>83</v>
      </c>
      <c r="J5" s="58" t="s">
        <v>84</v>
      </c>
      <c r="K5" s="58" t="s">
        <v>85</v>
      </c>
      <c r="L5" s="58" t="s">
        <v>86</v>
      </c>
      <c r="M5" s="58" t="s">
        <v>87</v>
      </c>
      <c r="N5" s="58" t="s">
        <v>88</v>
      </c>
      <c r="O5" s="59" t="s">
        <v>89</v>
      </c>
      <c r="P5" s="58" t="s">
        <v>90</v>
      </c>
      <c r="Q5" s="56" t="s">
        <v>91</v>
      </c>
      <c r="R5" s="58" t="s">
        <v>92</v>
      </c>
      <c r="S5" s="56" t="s">
        <v>93</v>
      </c>
      <c r="T5" s="59" t="s">
        <v>94</v>
      </c>
      <c r="U5" s="58" t="s">
        <v>95</v>
      </c>
      <c r="V5" s="58" t="s">
        <v>96</v>
      </c>
      <c r="W5" s="59" t="s">
        <v>97</v>
      </c>
      <c r="AC5" s="60"/>
      <c r="AD5" s="614" t="s">
        <v>98</v>
      </c>
      <c r="AE5" s="615"/>
      <c r="AF5" s="615"/>
      <c r="AG5" s="616"/>
      <c r="AH5" s="614" t="s">
        <v>98</v>
      </c>
      <c r="AI5" s="615"/>
      <c r="AJ5" s="615"/>
      <c r="AK5" s="616"/>
    </row>
    <row r="6" spans="2:37" x14ac:dyDescent="0.25">
      <c r="B6" s="30" t="s">
        <v>99</v>
      </c>
      <c r="C6" s="61">
        <f>Tulostus!J36</f>
        <v>84</v>
      </c>
      <c r="D6" s="22" t="s">
        <v>10</v>
      </c>
      <c r="F6" s="62">
        <v>-32</v>
      </c>
      <c r="G6" s="63">
        <f>IF($C$14=1,INDEX(AD9:AG9,1,'LTO HS-laskenta'!$C$13),INDEX(AH9:AK9,1,'LTO HS-laskenta'!$C$13))</f>
        <v>0</v>
      </c>
      <c r="H6" s="62">
        <f t="shared" ref="H6:H17" si="9">$C$12</f>
        <v>21</v>
      </c>
      <c r="I6" s="64">
        <f t="shared" ref="I6:I17" si="10">MAX(J6:K6)</f>
        <v>-5</v>
      </c>
      <c r="J6" s="65">
        <f t="shared" ref="J6:J50" si="11">IF(M6-$C$8*$C$10*(M6-F6)&lt;$C$11,$C$11,M6-$C$8*$C$10*(M6-F6))</f>
        <v>-5</v>
      </c>
      <c r="K6" s="65">
        <f t="shared" ref="K6:K17" si="12">M6-P6*Q6*(M6-F6)</f>
        <v>-5</v>
      </c>
      <c r="L6" s="65">
        <f t="shared" ref="L6:L17" si="13">M6-T6*(M6-F6)</f>
        <v>-23.977362252272947</v>
      </c>
      <c r="M6" s="52">
        <f t="shared" ref="M6:M50" si="14">$C$5</f>
        <v>20</v>
      </c>
      <c r="N6" s="65">
        <f>MIN(F6+R6/P6*(M6-F6),H6)</f>
        <v>-7</v>
      </c>
      <c r="O6" s="66">
        <f t="shared" ref="O6:O28" si="15">F6+S6/P6*(M6-F6)</f>
        <v>11.977362252272947</v>
      </c>
      <c r="P6" s="7">
        <f t="shared" ref="P6:P50" si="16">$C$8</f>
        <v>1</v>
      </c>
      <c r="Q6" s="67">
        <f>MIN(R6/P6,(H6-F6)/(M6-F6))</f>
        <v>0.48076923076923078</v>
      </c>
      <c r="R6" s="68">
        <f t="shared" ref="R6:R20" si="17">(M6-J6)/(M6-F6)</f>
        <v>0.48076923076923078</v>
      </c>
      <c r="S6" s="67">
        <f t="shared" ref="S6:S50" si="18">$C$10</f>
        <v>0.84571850485140276</v>
      </c>
      <c r="T6" s="69">
        <f t="shared" ref="T6:T50" si="19">S6*$C$8</f>
        <v>0.84571850485140276</v>
      </c>
      <c r="U6" s="70">
        <f>G6*(M6-F6)*365</f>
        <v>0</v>
      </c>
      <c r="V6" s="70">
        <f>G6*(N6-F6)*365</f>
        <v>0</v>
      </c>
      <c r="W6" s="71">
        <f>G6*(M6-J6)*365</f>
        <v>0</v>
      </c>
      <c r="Y6" s="3" t="e">
        <f t="shared" ref="Y6:Y49" si="20">$C$7/1000*1.2*1006*(M6-F6)*8760*(G6-G5)/1000</f>
        <v>#VALUE!</v>
      </c>
      <c r="Z6" s="3" t="e">
        <f t="shared" ref="Z6:Z49" si="21">1.2*1006*$C$7/1000*(M6-I6)/1000*(G6-G5)*8760</f>
        <v>#VALUE!</v>
      </c>
      <c r="AC6" s="25"/>
      <c r="AD6" s="72" t="s">
        <v>363</v>
      </c>
      <c r="AE6" s="73" t="s">
        <v>364</v>
      </c>
      <c r="AF6" s="73" t="s">
        <v>100</v>
      </c>
      <c r="AG6" s="74" t="s">
        <v>101</v>
      </c>
      <c r="AH6" s="72" t="s">
        <v>363</v>
      </c>
      <c r="AI6" s="73" t="s">
        <v>364</v>
      </c>
      <c r="AJ6" s="73" t="s">
        <v>100</v>
      </c>
      <c r="AK6" s="74" t="s">
        <v>101</v>
      </c>
    </row>
    <row r="7" spans="2:37" x14ac:dyDescent="0.25">
      <c r="B7" s="30" t="s">
        <v>102</v>
      </c>
      <c r="C7" s="61">
        <f>Tulostus!L36</f>
        <v>84</v>
      </c>
      <c r="D7" s="22" t="s">
        <v>10</v>
      </c>
      <c r="F7" s="62">
        <v>-31</v>
      </c>
      <c r="G7" s="75">
        <f>IF($C$14=1,INDEX(AD10:AG10,1,'LTO HS-laskenta'!$C$13),INDEX(AH10:AK10,1,'LTO HS-laskenta'!$C$13))</f>
        <v>0</v>
      </c>
      <c r="H7" s="62">
        <f t="shared" si="9"/>
        <v>21</v>
      </c>
      <c r="I7" s="64">
        <f t="shared" si="10"/>
        <v>-5</v>
      </c>
      <c r="J7" s="65">
        <f t="shared" si="11"/>
        <v>-5</v>
      </c>
      <c r="K7" s="65">
        <f t="shared" si="12"/>
        <v>-5</v>
      </c>
      <c r="L7" s="65">
        <f t="shared" si="13"/>
        <v>-23.131643747421542</v>
      </c>
      <c r="M7" s="52">
        <f t="shared" si="14"/>
        <v>20</v>
      </c>
      <c r="N7" s="65">
        <f t="shared" ref="N7:N50" si="22">MIN(F7+R7/P7*(M7-F7),H7)</f>
        <v>-6</v>
      </c>
      <c r="O7" s="66">
        <f t="shared" si="15"/>
        <v>12.131643747421542</v>
      </c>
      <c r="P7" s="7">
        <f t="shared" si="16"/>
        <v>1</v>
      </c>
      <c r="Q7" s="67">
        <f t="shared" ref="Q7:Q20" si="23">MIN(R7/P7,(H7-F7)/(M7-F7))</f>
        <v>0.49019607843137253</v>
      </c>
      <c r="R7" s="68">
        <f t="shared" si="17"/>
        <v>0.49019607843137253</v>
      </c>
      <c r="S7" s="67">
        <f t="shared" si="18"/>
        <v>0.84571850485140276</v>
      </c>
      <c r="T7" s="69">
        <f t="shared" si="19"/>
        <v>0.84571850485140276</v>
      </c>
      <c r="U7" s="76">
        <f>(G7-G6)*(M7-F7)*365</f>
        <v>0</v>
      </c>
      <c r="V7" s="76">
        <f>(G7-G6)*(N7-F7)*365</f>
        <v>0</v>
      </c>
      <c r="W7" s="77">
        <f>(G7-G6)*(M7-I7)*365</f>
        <v>0</v>
      </c>
      <c r="Y7" s="3">
        <f t="shared" si="20"/>
        <v>0</v>
      </c>
      <c r="Z7" s="3">
        <f t="shared" si="21"/>
        <v>0</v>
      </c>
      <c r="AC7" s="78">
        <v>-34</v>
      </c>
      <c r="AD7" s="79">
        <v>0</v>
      </c>
      <c r="AE7" s="7">
        <f>AD7</f>
        <v>0</v>
      </c>
      <c r="AF7" s="7">
        <v>0</v>
      </c>
      <c r="AG7" s="80">
        <v>0</v>
      </c>
      <c r="AH7" s="366">
        <v>0</v>
      </c>
      <c r="AI7" s="366">
        <v>0</v>
      </c>
      <c r="AJ7" s="366">
        <v>0</v>
      </c>
      <c r="AK7" s="366">
        <v>2.9680365296803654E-3</v>
      </c>
    </row>
    <row r="8" spans="2:37" ht="15" x14ac:dyDescent="0.3">
      <c r="B8" s="30" t="s">
        <v>103</v>
      </c>
      <c r="C8" s="81">
        <f>C6/C7</f>
        <v>1</v>
      </c>
      <c r="D8" s="22"/>
      <c r="F8" s="62">
        <v>-30</v>
      </c>
      <c r="G8" s="75">
        <f>IF($C$14=1,INDEX(AD11:AG11,1,'LTO HS-laskenta'!$C$13),INDEX(AH11:AK11,1,'LTO HS-laskenta'!$C$13))</f>
        <v>0</v>
      </c>
      <c r="H8" s="62">
        <f t="shared" si="9"/>
        <v>21</v>
      </c>
      <c r="I8" s="64">
        <f t="shared" si="10"/>
        <v>-5</v>
      </c>
      <c r="J8" s="65">
        <f t="shared" si="11"/>
        <v>-5</v>
      </c>
      <c r="K8" s="65">
        <f t="shared" si="12"/>
        <v>-5</v>
      </c>
      <c r="L8" s="65">
        <f t="shared" si="13"/>
        <v>-22.285925242570137</v>
      </c>
      <c r="M8" s="52">
        <f t="shared" si="14"/>
        <v>20</v>
      </c>
      <c r="N8" s="65">
        <f t="shared" si="22"/>
        <v>-5</v>
      </c>
      <c r="O8" s="66">
        <f t="shared" si="15"/>
        <v>12.285925242570137</v>
      </c>
      <c r="P8" s="7">
        <f t="shared" si="16"/>
        <v>1</v>
      </c>
      <c r="Q8" s="67">
        <f t="shared" si="23"/>
        <v>0.5</v>
      </c>
      <c r="R8" s="68">
        <f t="shared" si="17"/>
        <v>0.5</v>
      </c>
      <c r="S8" s="67">
        <f t="shared" si="18"/>
        <v>0.84571850485140276</v>
      </c>
      <c r="T8" s="69">
        <f t="shared" si="19"/>
        <v>0.84571850485140276</v>
      </c>
      <c r="U8" s="76">
        <f t="shared" ref="U8:U20" si="24">(G8-G7)*(M8-F8)*365</f>
        <v>0</v>
      </c>
      <c r="V8" s="76">
        <f t="shared" ref="V8:V50" si="25">(G8-G7)*(N8-F8)*365</f>
        <v>0</v>
      </c>
      <c r="W8" s="77">
        <f t="shared" ref="W8:W50" si="26">(G8-G7)*(M8-I8)*365</f>
        <v>0</v>
      </c>
      <c r="Y8" s="3">
        <f t="shared" si="20"/>
        <v>0</v>
      </c>
      <c r="Z8" s="3">
        <f t="shared" si="21"/>
        <v>0</v>
      </c>
      <c r="AC8" s="78">
        <v>-33</v>
      </c>
      <c r="AD8" s="79">
        <v>0</v>
      </c>
      <c r="AE8" s="7">
        <f t="shared" ref="AE8:AE70" si="27">AD8</f>
        <v>0</v>
      </c>
      <c r="AF8" s="7">
        <v>0</v>
      </c>
      <c r="AG8" s="80">
        <v>8.0000000000000004E-4</v>
      </c>
      <c r="AH8" s="366">
        <v>0</v>
      </c>
      <c r="AI8" s="366">
        <v>0</v>
      </c>
      <c r="AJ8" s="366">
        <v>0</v>
      </c>
      <c r="AK8" s="366">
        <v>4.10958904109589E-3</v>
      </c>
    </row>
    <row r="9" spans="2:37" x14ac:dyDescent="0.25">
      <c r="B9" s="30" t="s">
        <v>104</v>
      </c>
      <c r="C9" s="82">
        <f>'LTO-kennon HS'!K25/100</f>
        <v>0.84571850485140276</v>
      </c>
      <c r="D9" s="22"/>
      <c r="F9" s="62">
        <v>-29</v>
      </c>
      <c r="G9" s="75">
        <f>IF($C$14=1,INDEX(AD12:AG12,1,'LTO HS-laskenta'!$C$13),INDEX(AH12:AK12,1,'LTO HS-laskenta'!$C$13))</f>
        <v>0</v>
      </c>
      <c r="H9" s="62">
        <f t="shared" si="9"/>
        <v>21</v>
      </c>
      <c r="I9" s="64">
        <f t="shared" si="10"/>
        <v>-5</v>
      </c>
      <c r="J9" s="65">
        <f t="shared" si="11"/>
        <v>-5</v>
      </c>
      <c r="K9" s="65">
        <f t="shared" si="12"/>
        <v>-5</v>
      </c>
      <c r="L9" s="65">
        <f t="shared" si="13"/>
        <v>-21.440206737718732</v>
      </c>
      <c r="M9" s="52">
        <f t="shared" si="14"/>
        <v>20</v>
      </c>
      <c r="N9" s="65">
        <f t="shared" si="22"/>
        <v>-4</v>
      </c>
      <c r="O9" s="66">
        <f t="shared" si="15"/>
        <v>12.440206737718732</v>
      </c>
      <c r="P9" s="7">
        <f t="shared" si="16"/>
        <v>1</v>
      </c>
      <c r="Q9" s="67">
        <f t="shared" si="23"/>
        <v>0.51020408163265307</v>
      </c>
      <c r="R9" s="68">
        <f t="shared" si="17"/>
        <v>0.51020408163265307</v>
      </c>
      <c r="S9" s="67">
        <f t="shared" si="18"/>
        <v>0.84571850485140276</v>
      </c>
      <c r="T9" s="69">
        <f t="shared" si="19"/>
        <v>0.84571850485140276</v>
      </c>
      <c r="U9" s="76">
        <f t="shared" si="24"/>
        <v>0</v>
      </c>
      <c r="V9" s="76">
        <f t="shared" si="25"/>
        <v>0</v>
      </c>
      <c r="W9" s="77">
        <f t="shared" si="26"/>
        <v>0</v>
      </c>
      <c r="Y9" s="3">
        <f t="shared" si="20"/>
        <v>0</v>
      </c>
      <c r="Z9" s="3">
        <f t="shared" si="21"/>
        <v>0</v>
      </c>
      <c r="AC9" s="78">
        <v>-32</v>
      </c>
      <c r="AD9" s="79">
        <v>0</v>
      </c>
      <c r="AE9" s="7">
        <f t="shared" si="27"/>
        <v>0</v>
      </c>
      <c r="AF9" s="7">
        <v>0</v>
      </c>
      <c r="AG9" s="80">
        <v>1.8E-3</v>
      </c>
      <c r="AH9" s="366">
        <v>0</v>
      </c>
      <c r="AI9" s="366">
        <v>0</v>
      </c>
      <c r="AJ9" s="366">
        <v>0</v>
      </c>
      <c r="AK9" s="366">
        <v>4.7945205479452057E-3</v>
      </c>
    </row>
    <row r="10" spans="2:37" x14ac:dyDescent="0.25">
      <c r="B10" s="30" t="s">
        <v>105</v>
      </c>
      <c r="C10" s="83">
        <f>MIN(2/(1+C8)*C9,0.99)</f>
        <v>0.84571850485140276</v>
      </c>
      <c r="D10" s="22"/>
      <c r="F10" s="62">
        <v>-28</v>
      </c>
      <c r="G10" s="75">
        <f>IF($C$14=1,INDEX(AD13:AG13,1,'LTO HS-laskenta'!$C$13),INDEX(AH13:AK13,1,'LTO HS-laskenta'!$C$13))</f>
        <v>0</v>
      </c>
      <c r="H10" s="62">
        <f t="shared" si="9"/>
        <v>21</v>
      </c>
      <c r="I10" s="64">
        <f t="shared" si="10"/>
        <v>-5</v>
      </c>
      <c r="J10" s="65">
        <f t="shared" si="11"/>
        <v>-5</v>
      </c>
      <c r="K10" s="65">
        <f t="shared" si="12"/>
        <v>-5</v>
      </c>
      <c r="L10" s="65">
        <f t="shared" si="13"/>
        <v>-20.594488232867334</v>
      </c>
      <c r="M10" s="52">
        <f t="shared" si="14"/>
        <v>20</v>
      </c>
      <c r="N10" s="65">
        <f t="shared" si="22"/>
        <v>-3</v>
      </c>
      <c r="O10" s="66">
        <f t="shared" si="15"/>
        <v>12.594488232867334</v>
      </c>
      <c r="P10" s="7">
        <f t="shared" si="16"/>
        <v>1</v>
      </c>
      <c r="Q10" s="67">
        <f t="shared" si="23"/>
        <v>0.52083333333333337</v>
      </c>
      <c r="R10" s="68">
        <f t="shared" si="17"/>
        <v>0.52083333333333337</v>
      </c>
      <c r="S10" s="67">
        <f t="shared" si="18"/>
        <v>0.84571850485140276</v>
      </c>
      <c r="T10" s="69">
        <f t="shared" si="19"/>
        <v>0.84571850485140276</v>
      </c>
      <c r="U10" s="76">
        <f t="shared" si="24"/>
        <v>0</v>
      </c>
      <c r="V10" s="76">
        <f t="shared" si="25"/>
        <v>0</v>
      </c>
      <c r="W10" s="77">
        <f t="shared" si="26"/>
        <v>0</v>
      </c>
      <c r="Y10" s="3">
        <f t="shared" si="20"/>
        <v>0</v>
      </c>
      <c r="Z10" s="3">
        <f t="shared" si="21"/>
        <v>0</v>
      </c>
      <c r="AC10" s="78">
        <v>-31</v>
      </c>
      <c r="AD10" s="79">
        <v>0</v>
      </c>
      <c r="AE10" s="7">
        <f t="shared" si="27"/>
        <v>0</v>
      </c>
      <c r="AF10" s="7">
        <v>0</v>
      </c>
      <c r="AG10" s="80">
        <v>4.7000000000000002E-3</v>
      </c>
      <c r="AH10" s="366">
        <v>0</v>
      </c>
      <c r="AI10" s="366">
        <v>0</v>
      </c>
      <c r="AJ10" s="366">
        <v>2.2831050228310502E-4</v>
      </c>
      <c r="AK10" s="366">
        <v>6.0502283105022831E-3</v>
      </c>
    </row>
    <row r="11" spans="2:37" x14ac:dyDescent="0.25">
      <c r="B11" s="30" t="s">
        <v>106</v>
      </c>
      <c r="C11" s="61">
        <f>Tulostus!L65</f>
        <v>-5</v>
      </c>
      <c r="D11" s="22" t="s">
        <v>79</v>
      </c>
      <c r="F11" s="62">
        <v>-27</v>
      </c>
      <c r="G11" s="75">
        <f>IF($C$14=1,INDEX(AD14:AG14,1,'LTO HS-laskenta'!$C$13),INDEX(AH14:AK14,1,'LTO HS-laskenta'!$C$13))</f>
        <v>0</v>
      </c>
      <c r="H11" s="62">
        <f t="shared" si="9"/>
        <v>21</v>
      </c>
      <c r="I11" s="64">
        <f t="shared" si="10"/>
        <v>-5</v>
      </c>
      <c r="J11" s="65">
        <f t="shared" si="11"/>
        <v>-5</v>
      </c>
      <c r="K11" s="65">
        <f t="shared" si="12"/>
        <v>-5</v>
      </c>
      <c r="L11" s="65">
        <f t="shared" si="13"/>
        <v>-19.74876972801593</v>
      </c>
      <c r="M11" s="52">
        <f t="shared" si="14"/>
        <v>20</v>
      </c>
      <c r="N11" s="65">
        <f t="shared" si="22"/>
        <v>-2</v>
      </c>
      <c r="O11" s="66">
        <f t="shared" si="15"/>
        <v>12.74876972801593</v>
      </c>
      <c r="P11" s="7">
        <f t="shared" si="16"/>
        <v>1</v>
      </c>
      <c r="Q11" s="67">
        <f t="shared" si="23"/>
        <v>0.53191489361702127</v>
      </c>
      <c r="R11" s="68">
        <f t="shared" si="17"/>
        <v>0.53191489361702127</v>
      </c>
      <c r="S11" s="67">
        <f t="shared" si="18"/>
        <v>0.84571850485140276</v>
      </c>
      <c r="T11" s="69">
        <f t="shared" si="19"/>
        <v>0.84571850485140276</v>
      </c>
      <c r="U11" s="76">
        <f t="shared" si="24"/>
        <v>0</v>
      </c>
      <c r="V11" s="76">
        <f t="shared" si="25"/>
        <v>0</v>
      </c>
      <c r="W11" s="77">
        <f t="shared" si="26"/>
        <v>0</v>
      </c>
      <c r="Y11" s="3">
        <f t="shared" si="20"/>
        <v>0</v>
      </c>
      <c r="Z11" s="3">
        <f t="shared" si="21"/>
        <v>0</v>
      </c>
      <c r="AC11" s="78">
        <v>-30</v>
      </c>
      <c r="AD11" s="79">
        <v>0</v>
      </c>
      <c r="AE11" s="7">
        <f t="shared" si="27"/>
        <v>0</v>
      </c>
      <c r="AF11" s="7">
        <v>0</v>
      </c>
      <c r="AG11" s="80">
        <v>8.2000000000000007E-3</v>
      </c>
      <c r="AH11" s="366">
        <v>0</v>
      </c>
      <c r="AI11" s="366">
        <v>0</v>
      </c>
      <c r="AJ11" s="366">
        <v>3.4246575342465754E-4</v>
      </c>
      <c r="AK11" s="366">
        <v>7.9908675799086754E-3</v>
      </c>
    </row>
    <row r="12" spans="2:37" x14ac:dyDescent="0.25">
      <c r="B12" s="30" t="s">
        <v>107</v>
      </c>
      <c r="C12" s="84">
        <f>Tulostus!L66</f>
        <v>21</v>
      </c>
      <c r="D12" s="22" t="s">
        <v>79</v>
      </c>
      <c r="F12" s="62">
        <v>-26</v>
      </c>
      <c r="G12" s="75">
        <f>IF($C$14=1,INDEX(AD15:AG15,1,'LTO HS-laskenta'!$C$13),INDEX(AH15:AK15,1,'LTO HS-laskenta'!$C$13))</f>
        <v>0</v>
      </c>
      <c r="H12" s="62">
        <f t="shared" si="9"/>
        <v>21</v>
      </c>
      <c r="I12" s="64">
        <f t="shared" si="10"/>
        <v>-5</v>
      </c>
      <c r="J12" s="65">
        <f t="shared" si="11"/>
        <v>-5</v>
      </c>
      <c r="K12" s="65">
        <f t="shared" si="12"/>
        <v>-5</v>
      </c>
      <c r="L12" s="65">
        <f t="shared" si="13"/>
        <v>-18.903051223164525</v>
      </c>
      <c r="M12" s="52">
        <f t="shared" si="14"/>
        <v>20</v>
      </c>
      <c r="N12" s="65">
        <f t="shared" si="22"/>
        <v>-1</v>
      </c>
      <c r="O12" s="66">
        <f t="shared" si="15"/>
        <v>12.903051223164525</v>
      </c>
      <c r="P12" s="7">
        <f t="shared" si="16"/>
        <v>1</v>
      </c>
      <c r="Q12" s="67">
        <f t="shared" si="23"/>
        <v>0.54347826086956519</v>
      </c>
      <c r="R12" s="68">
        <f t="shared" si="17"/>
        <v>0.54347826086956519</v>
      </c>
      <c r="S12" s="67">
        <f t="shared" si="18"/>
        <v>0.84571850485140276</v>
      </c>
      <c r="T12" s="69">
        <f t="shared" si="19"/>
        <v>0.84571850485140276</v>
      </c>
      <c r="U12" s="76">
        <f t="shared" si="24"/>
        <v>0</v>
      </c>
      <c r="V12" s="76">
        <f t="shared" si="25"/>
        <v>0</v>
      </c>
      <c r="W12" s="77">
        <f t="shared" si="26"/>
        <v>0</v>
      </c>
      <c r="Y12" s="3">
        <f t="shared" si="20"/>
        <v>0</v>
      </c>
      <c r="Z12" s="3">
        <f t="shared" si="21"/>
        <v>0</v>
      </c>
      <c r="AC12" s="78">
        <v>-29</v>
      </c>
      <c r="AD12" s="79">
        <v>0</v>
      </c>
      <c r="AE12" s="7">
        <f t="shared" si="27"/>
        <v>0</v>
      </c>
      <c r="AF12" s="7">
        <v>0</v>
      </c>
      <c r="AG12" s="80">
        <v>1.26E-2</v>
      </c>
      <c r="AH12" s="366">
        <v>0</v>
      </c>
      <c r="AI12" s="366">
        <v>0</v>
      </c>
      <c r="AJ12" s="366">
        <v>4.5662100456621003E-4</v>
      </c>
      <c r="AK12" s="366">
        <v>1.1187214611872146E-2</v>
      </c>
    </row>
    <row r="13" spans="2:37" x14ac:dyDescent="0.25">
      <c r="B13" s="30" t="s">
        <v>108</v>
      </c>
      <c r="C13" s="3">
        <v>1</v>
      </c>
      <c r="D13" s="22"/>
      <c r="E13" s="367">
        <f>C13</f>
        <v>1</v>
      </c>
      <c r="F13" s="62">
        <v>-25</v>
      </c>
      <c r="G13" s="75">
        <f>IF($C$14=1,INDEX(AD16:AG16,1,'LTO HS-laskenta'!$C$13),INDEX(AH16:AK16,1,'LTO HS-laskenta'!$C$13))</f>
        <v>0</v>
      </c>
      <c r="H13" s="62">
        <f t="shared" si="9"/>
        <v>21</v>
      </c>
      <c r="I13" s="64">
        <f t="shared" si="10"/>
        <v>-5</v>
      </c>
      <c r="J13" s="65">
        <f t="shared" si="11"/>
        <v>-5</v>
      </c>
      <c r="K13" s="65">
        <f t="shared" si="12"/>
        <v>-5</v>
      </c>
      <c r="L13" s="65">
        <f t="shared" si="13"/>
        <v>-18.057332718313127</v>
      </c>
      <c r="M13" s="52">
        <f t="shared" si="14"/>
        <v>20</v>
      </c>
      <c r="N13" s="65">
        <f t="shared" si="22"/>
        <v>0</v>
      </c>
      <c r="O13" s="66">
        <f t="shared" si="15"/>
        <v>13.057332718313127</v>
      </c>
      <c r="P13" s="7">
        <f t="shared" si="16"/>
        <v>1</v>
      </c>
      <c r="Q13" s="67">
        <f t="shared" si="23"/>
        <v>0.55555555555555558</v>
      </c>
      <c r="R13" s="68">
        <f t="shared" si="17"/>
        <v>0.55555555555555558</v>
      </c>
      <c r="S13" s="67">
        <f t="shared" si="18"/>
        <v>0.84571850485140276</v>
      </c>
      <c r="T13" s="69">
        <f t="shared" si="19"/>
        <v>0.84571850485140276</v>
      </c>
      <c r="U13" s="76">
        <f t="shared" si="24"/>
        <v>0</v>
      </c>
      <c r="V13" s="76">
        <f t="shared" si="25"/>
        <v>0</v>
      </c>
      <c r="W13" s="77">
        <f t="shared" si="26"/>
        <v>0</v>
      </c>
      <c r="Y13" s="3">
        <f t="shared" si="20"/>
        <v>0</v>
      </c>
      <c r="Z13" s="3">
        <f t="shared" si="21"/>
        <v>0</v>
      </c>
      <c r="AC13" s="78">
        <v>-28</v>
      </c>
      <c r="AD13" s="79">
        <v>0</v>
      </c>
      <c r="AE13" s="7">
        <f t="shared" si="27"/>
        <v>0</v>
      </c>
      <c r="AF13" s="7">
        <v>0</v>
      </c>
      <c r="AG13" s="80">
        <v>1.7100000000000001E-2</v>
      </c>
      <c r="AH13" s="366">
        <v>0</v>
      </c>
      <c r="AI13" s="366">
        <v>0</v>
      </c>
      <c r="AJ13" s="366">
        <v>9.1324200913242006E-4</v>
      </c>
      <c r="AK13" s="366">
        <v>1.4726027397260274E-2</v>
      </c>
    </row>
    <row r="14" spans="2:37" x14ac:dyDescent="0.25">
      <c r="B14" s="30" t="s">
        <v>109</v>
      </c>
      <c r="C14">
        <v>2</v>
      </c>
      <c r="D14" s="22"/>
      <c r="F14" s="62">
        <v>-24</v>
      </c>
      <c r="G14" s="75">
        <f>IF($C$14=1,INDEX(AD17:AG17,1,'LTO HS-laskenta'!$C$13),INDEX(AH17:AK17,1,'LTO HS-laskenta'!$C$13))</f>
        <v>1.1415525114155251E-4</v>
      </c>
      <c r="H14" s="62">
        <f t="shared" si="9"/>
        <v>21</v>
      </c>
      <c r="I14" s="64">
        <f t="shared" si="10"/>
        <v>-5</v>
      </c>
      <c r="J14" s="65">
        <f t="shared" si="11"/>
        <v>-5</v>
      </c>
      <c r="K14" s="65">
        <f t="shared" si="12"/>
        <v>-5.0000000000000036</v>
      </c>
      <c r="L14" s="65">
        <f t="shared" si="13"/>
        <v>-17.211614213461722</v>
      </c>
      <c r="M14" s="52">
        <f t="shared" si="14"/>
        <v>20</v>
      </c>
      <c r="N14" s="65">
        <f t="shared" si="22"/>
        <v>1.0000000000000036</v>
      </c>
      <c r="O14" s="66">
        <f t="shared" si="15"/>
        <v>13.211614213461722</v>
      </c>
      <c r="P14" s="7">
        <f t="shared" si="16"/>
        <v>1</v>
      </c>
      <c r="Q14" s="67">
        <f t="shared" si="23"/>
        <v>0.56818181818181823</v>
      </c>
      <c r="R14" s="68">
        <f t="shared" si="17"/>
        <v>0.56818181818181823</v>
      </c>
      <c r="S14" s="67">
        <f t="shared" si="18"/>
        <v>0.84571850485140276</v>
      </c>
      <c r="T14" s="69">
        <f t="shared" si="19"/>
        <v>0.84571850485140276</v>
      </c>
      <c r="U14" s="76">
        <f t="shared" si="24"/>
        <v>1.8333333333333333</v>
      </c>
      <c r="V14" s="76">
        <f t="shared" si="25"/>
        <v>1.0416666666666667</v>
      </c>
      <c r="W14" s="77">
        <f t="shared" si="26"/>
        <v>1.0416666666666665</v>
      </c>
      <c r="Y14" s="3">
        <f t="shared" si="20"/>
        <v>4.4618112000000005</v>
      </c>
      <c r="Z14" s="3">
        <f t="shared" si="21"/>
        <v>2.5351200000000005</v>
      </c>
      <c r="AC14" s="78">
        <v>-27</v>
      </c>
      <c r="AD14" s="79">
        <v>0</v>
      </c>
      <c r="AE14" s="7">
        <f t="shared" si="27"/>
        <v>0</v>
      </c>
      <c r="AF14" s="7">
        <v>6.9999999999999999E-4</v>
      </c>
      <c r="AG14" s="80">
        <v>2.1299999999999999E-2</v>
      </c>
      <c r="AH14" s="366">
        <v>0</v>
      </c>
      <c r="AI14" s="366">
        <v>0</v>
      </c>
      <c r="AJ14" s="366">
        <v>1.8264840182648401E-3</v>
      </c>
      <c r="AK14" s="366">
        <v>1.906392694063927E-2</v>
      </c>
    </row>
    <row r="15" spans="2:37" x14ac:dyDescent="0.25">
      <c r="B15" s="30" t="s">
        <v>110</v>
      </c>
      <c r="C15" s="85">
        <f>Tulostus!L62</f>
        <v>0</v>
      </c>
      <c r="D15" s="22" t="s">
        <v>10</v>
      </c>
      <c r="F15" s="62">
        <v>-23</v>
      </c>
      <c r="G15" s="75">
        <f>IF($C$14=1,INDEX(AD18:AG18,1,'LTO HS-laskenta'!$C$13),INDEX(AH18:AK18,1,'LTO HS-laskenta'!$C$13))</f>
        <v>3.4246575342465754E-4</v>
      </c>
      <c r="H15" s="62">
        <f t="shared" si="9"/>
        <v>21</v>
      </c>
      <c r="I15" s="64">
        <f t="shared" si="10"/>
        <v>-5</v>
      </c>
      <c r="J15" s="65">
        <f t="shared" si="11"/>
        <v>-5</v>
      </c>
      <c r="K15" s="65">
        <f t="shared" si="12"/>
        <v>-5</v>
      </c>
      <c r="L15" s="65">
        <f t="shared" si="13"/>
        <v>-16.365895708610317</v>
      </c>
      <c r="M15" s="52">
        <f t="shared" si="14"/>
        <v>20</v>
      </c>
      <c r="N15" s="65">
        <f t="shared" si="22"/>
        <v>2</v>
      </c>
      <c r="O15" s="66">
        <f t="shared" si="15"/>
        <v>13.365895708610317</v>
      </c>
      <c r="P15" s="7">
        <f t="shared" si="16"/>
        <v>1</v>
      </c>
      <c r="Q15" s="67">
        <f t="shared" si="23"/>
        <v>0.58139534883720934</v>
      </c>
      <c r="R15" s="68">
        <f t="shared" si="17"/>
        <v>0.58139534883720934</v>
      </c>
      <c r="S15" s="67">
        <f t="shared" si="18"/>
        <v>0.84571850485140276</v>
      </c>
      <c r="T15" s="69">
        <f t="shared" si="19"/>
        <v>0.84571850485140276</v>
      </c>
      <c r="U15" s="76">
        <f t="shared" si="24"/>
        <v>3.5833333333333335</v>
      </c>
      <c r="V15" s="76">
        <f t="shared" si="25"/>
        <v>2.0833333333333335</v>
      </c>
      <c r="W15" s="77">
        <f t="shared" si="26"/>
        <v>2.0833333333333335</v>
      </c>
      <c r="Y15" s="3">
        <f t="shared" si="20"/>
        <v>8.7208127999999991</v>
      </c>
      <c r="Z15" s="3">
        <f t="shared" si="21"/>
        <v>5.070240000000001</v>
      </c>
      <c r="AC15" s="78">
        <v>-26</v>
      </c>
      <c r="AD15" s="79">
        <v>0</v>
      </c>
      <c r="AE15" s="7">
        <f t="shared" si="27"/>
        <v>0</v>
      </c>
      <c r="AF15" s="7">
        <v>1.6999999999999999E-3</v>
      </c>
      <c r="AG15" s="80">
        <v>2.47E-2</v>
      </c>
      <c r="AH15" s="366">
        <v>0</v>
      </c>
      <c r="AI15" s="366">
        <v>3.4246575342465754E-4</v>
      </c>
      <c r="AJ15" s="366">
        <v>2.625570776255708E-3</v>
      </c>
      <c r="AK15" s="366">
        <v>2.2488584474885845E-2</v>
      </c>
    </row>
    <row r="16" spans="2:37" x14ac:dyDescent="0.25">
      <c r="B16" s="30" t="s">
        <v>111</v>
      </c>
      <c r="C16" s="85">
        <f>Tulostus!L63</f>
        <v>0</v>
      </c>
      <c r="D16" s="22" t="s">
        <v>112</v>
      </c>
      <c r="F16" s="62">
        <v>-22</v>
      </c>
      <c r="G16" s="75">
        <f>IF($C$14=1,INDEX(AD19:AG19,1,'LTO HS-laskenta'!$C$13),INDEX(AH19:AK19,1,'LTO HS-laskenta'!$C$13))</f>
        <v>5.7077625570776253E-4</v>
      </c>
      <c r="H16" s="62">
        <f t="shared" si="9"/>
        <v>21</v>
      </c>
      <c r="I16" s="64">
        <f t="shared" si="10"/>
        <v>-5</v>
      </c>
      <c r="J16" s="65">
        <f t="shared" si="11"/>
        <v>-5</v>
      </c>
      <c r="K16" s="65">
        <f t="shared" si="12"/>
        <v>-5</v>
      </c>
      <c r="L16" s="65">
        <f t="shared" si="13"/>
        <v>-15.520177203758919</v>
      </c>
      <c r="M16" s="52">
        <f t="shared" si="14"/>
        <v>20</v>
      </c>
      <c r="N16" s="65">
        <f t="shared" si="22"/>
        <v>3</v>
      </c>
      <c r="O16" s="66">
        <f t="shared" si="15"/>
        <v>13.520177203758919</v>
      </c>
      <c r="P16" s="7">
        <f t="shared" si="16"/>
        <v>1</v>
      </c>
      <c r="Q16" s="67">
        <f t="shared" si="23"/>
        <v>0.59523809523809523</v>
      </c>
      <c r="R16" s="68">
        <f t="shared" si="17"/>
        <v>0.59523809523809523</v>
      </c>
      <c r="S16" s="67">
        <f t="shared" si="18"/>
        <v>0.84571850485140276</v>
      </c>
      <c r="T16" s="69">
        <f t="shared" si="19"/>
        <v>0.84571850485140276</v>
      </c>
      <c r="U16" s="76">
        <f t="shared" si="24"/>
        <v>3.4999999999999996</v>
      </c>
      <c r="V16" s="76">
        <f t="shared" si="25"/>
        <v>2.083333333333333</v>
      </c>
      <c r="W16" s="77">
        <f t="shared" si="26"/>
        <v>2.083333333333333</v>
      </c>
      <c r="Y16" s="3">
        <f t="shared" si="20"/>
        <v>8.5180031999999972</v>
      </c>
      <c r="Z16" s="3">
        <f t="shared" si="21"/>
        <v>5.0702400000000001</v>
      </c>
      <c r="AC16" s="78">
        <v>-25</v>
      </c>
      <c r="AD16" s="79">
        <v>0</v>
      </c>
      <c r="AE16" s="7">
        <f t="shared" si="27"/>
        <v>0</v>
      </c>
      <c r="AF16" s="7">
        <v>2.3999999999999998E-3</v>
      </c>
      <c r="AG16" s="80">
        <v>3.0700000000000002E-2</v>
      </c>
      <c r="AH16" s="366">
        <v>0</v>
      </c>
      <c r="AI16" s="366">
        <v>9.1324200913242006E-4</v>
      </c>
      <c r="AJ16" s="366">
        <v>3.8812785388127853E-3</v>
      </c>
      <c r="AK16" s="366">
        <v>2.7397260273972601E-2</v>
      </c>
    </row>
    <row r="17" spans="2:37" x14ac:dyDescent="0.25">
      <c r="B17" s="30" t="s">
        <v>113</v>
      </c>
      <c r="C17" s="4">
        <f>(24*C7+C16*C15)/24</f>
        <v>84</v>
      </c>
      <c r="D17" s="22" t="s">
        <v>10</v>
      </c>
      <c r="F17" s="62">
        <v>-21</v>
      </c>
      <c r="G17" s="75">
        <f>IF($C$14=1,INDEX(AD20:AG20,1,'LTO HS-laskenta'!$C$13),INDEX(AH20:AK20,1,'LTO HS-laskenta'!$C$13))</f>
        <v>1.1415525114155251E-3</v>
      </c>
      <c r="H17" s="62">
        <f t="shared" si="9"/>
        <v>21</v>
      </c>
      <c r="I17" s="64">
        <f t="shared" si="10"/>
        <v>-5</v>
      </c>
      <c r="J17" s="65">
        <f t="shared" si="11"/>
        <v>-5</v>
      </c>
      <c r="K17" s="65">
        <f t="shared" si="12"/>
        <v>-5</v>
      </c>
      <c r="L17" s="65">
        <f t="shared" si="13"/>
        <v>-14.674458698907515</v>
      </c>
      <c r="M17" s="52">
        <f t="shared" si="14"/>
        <v>20</v>
      </c>
      <c r="N17" s="65">
        <f t="shared" si="22"/>
        <v>4</v>
      </c>
      <c r="O17" s="66">
        <f t="shared" si="15"/>
        <v>13.674458698907515</v>
      </c>
      <c r="P17" s="7">
        <f t="shared" si="16"/>
        <v>1</v>
      </c>
      <c r="Q17" s="67">
        <f t="shared" si="23"/>
        <v>0.6097560975609756</v>
      </c>
      <c r="R17" s="68">
        <f t="shared" si="17"/>
        <v>0.6097560975609756</v>
      </c>
      <c r="S17" s="67">
        <f t="shared" si="18"/>
        <v>0.84571850485140276</v>
      </c>
      <c r="T17" s="69">
        <f t="shared" si="19"/>
        <v>0.84571850485140276</v>
      </c>
      <c r="U17" s="76">
        <f t="shared" si="24"/>
        <v>8.5416666666666661</v>
      </c>
      <c r="V17" s="76">
        <f t="shared" si="25"/>
        <v>5.208333333333333</v>
      </c>
      <c r="W17" s="77">
        <f t="shared" si="26"/>
        <v>5.208333333333333</v>
      </c>
      <c r="Y17" s="3">
        <f t="shared" si="20"/>
        <v>20.787983999999998</v>
      </c>
      <c r="Z17" s="3">
        <f t="shared" si="21"/>
        <v>12.675600000000003</v>
      </c>
      <c r="AC17" s="78">
        <v>-24</v>
      </c>
      <c r="AD17" s="79">
        <v>0</v>
      </c>
      <c r="AE17" s="7">
        <f t="shared" si="27"/>
        <v>0</v>
      </c>
      <c r="AF17" s="7">
        <v>4.0000000000000001E-3</v>
      </c>
      <c r="AG17" s="80">
        <v>3.8199999999999998E-2</v>
      </c>
      <c r="AH17" s="366">
        <v>1.1415525114155251E-4</v>
      </c>
      <c r="AI17" s="366">
        <v>1.3698630136986301E-3</v>
      </c>
      <c r="AJ17" s="366">
        <v>5.8219178082191785E-3</v>
      </c>
      <c r="AK17" s="366">
        <v>3.093607305936073E-2</v>
      </c>
    </row>
    <row r="18" spans="2:37" ht="15" x14ac:dyDescent="0.3">
      <c r="B18" s="31" t="s">
        <v>114</v>
      </c>
      <c r="C18" s="86">
        <f>C6/(C7+(C16/24*C15))</f>
        <v>1</v>
      </c>
      <c r="D18" s="23"/>
      <c r="F18" s="62">
        <v>-20</v>
      </c>
      <c r="G18" s="75">
        <f>IF($C$14=1,INDEX(AD21:AG21,1,'LTO HS-laskenta'!$C$13),INDEX(AH21:AK21,1,'LTO HS-laskenta'!$C$13))</f>
        <v>2.8538812785388126E-3</v>
      </c>
      <c r="H18" s="62">
        <f>$C$12</f>
        <v>21</v>
      </c>
      <c r="I18" s="64">
        <f>MAX(J18:K18)</f>
        <v>-5</v>
      </c>
      <c r="J18" s="65">
        <f t="shared" si="11"/>
        <v>-5</v>
      </c>
      <c r="K18" s="65">
        <f>M18-P18*Q18*(M18-F18)</f>
        <v>-5</v>
      </c>
      <c r="L18" s="65">
        <f>M18-T18*(M18-F18)</f>
        <v>-13.82874019405611</v>
      </c>
      <c r="M18" s="52">
        <f t="shared" si="14"/>
        <v>20</v>
      </c>
      <c r="N18" s="65">
        <f t="shared" si="22"/>
        <v>5</v>
      </c>
      <c r="O18" s="66">
        <f t="shared" si="15"/>
        <v>13.82874019405611</v>
      </c>
      <c r="P18" s="7">
        <f t="shared" si="16"/>
        <v>1</v>
      </c>
      <c r="Q18" s="67">
        <f t="shared" si="23"/>
        <v>0.625</v>
      </c>
      <c r="R18" s="68">
        <f t="shared" si="17"/>
        <v>0.625</v>
      </c>
      <c r="S18" s="67">
        <f t="shared" si="18"/>
        <v>0.84571850485140276</v>
      </c>
      <c r="T18" s="69">
        <f t="shared" si="19"/>
        <v>0.84571850485140276</v>
      </c>
      <c r="U18" s="76">
        <f t="shared" si="24"/>
        <v>25</v>
      </c>
      <c r="V18" s="76">
        <f>(G18-G17)*(N18-F18)*365</f>
        <v>15.625</v>
      </c>
      <c r="W18" s="77">
        <f>(G18-G17)*(M18-I18)*365</f>
        <v>15.625</v>
      </c>
      <c r="Y18" s="3">
        <f>$C$7/1000*1.2*1006*(M18-F18)*8760*(G18-G17)/1000</f>
        <v>60.842879999999994</v>
      </c>
      <c r="Z18" s="3">
        <f t="shared" si="21"/>
        <v>38.026800000000009</v>
      </c>
      <c r="AC18" s="78">
        <v>-23</v>
      </c>
      <c r="AD18" s="79">
        <v>0</v>
      </c>
      <c r="AE18" s="7">
        <f t="shared" si="27"/>
        <v>0</v>
      </c>
      <c r="AF18" s="7">
        <v>5.5999999999999999E-3</v>
      </c>
      <c r="AG18" s="80">
        <v>4.4900000000000002E-2</v>
      </c>
      <c r="AH18" s="366">
        <v>3.4246575342465754E-4</v>
      </c>
      <c r="AI18" s="366">
        <v>2.3972602739726029E-3</v>
      </c>
      <c r="AJ18" s="366">
        <v>7.3059360730593605E-3</v>
      </c>
      <c r="AK18" s="366">
        <v>3.4018264840182645E-2</v>
      </c>
    </row>
    <row r="19" spans="2:37" x14ac:dyDescent="0.25">
      <c r="B19" s="29" t="s">
        <v>115</v>
      </c>
      <c r="C19" s="87">
        <f>IF(E13=1,-26,IF(E13=2,-29,IF(E13=3,-32,-38)))</f>
        <v>-26</v>
      </c>
      <c r="D19" s="21" t="s">
        <v>79</v>
      </c>
      <c r="F19" s="62">
        <v>-19</v>
      </c>
      <c r="G19" s="75">
        <f>IF($C$14=1,INDEX(AD22:AG22,1,'LTO HS-laskenta'!$C$13),INDEX(AH22:AK22,1,'LTO HS-laskenta'!$C$13))</f>
        <v>5.3652968036529683E-3</v>
      </c>
      <c r="H19" s="62">
        <f t="shared" ref="H19:H50" si="28">$H$17</f>
        <v>21</v>
      </c>
      <c r="I19" s="64">
        <f>MAX(J19:K19)</f>
        <v>-5</v>
      </c>
      <c r="J19" s="65">
        <f t="shared" si="11"/>
        <v>-5</v>
      </c>
      <c r="K19" s="65">
        <f t="shared" ref="K19:K50" si="29">M19-P19*Q19*(M19-F19)</f>
        <v>-5.0000000000000036</v>
      </c>
      <c r="L19" s="65">
        <f t="shared" ref="L19:L50" si="30">M19-T19*(M19-F19)</f>
        <v>-12.983021689204705</v>
      </c>
      <c r="M19" s="52">
        <f t="shared" si="14"/>
        <v>20</v>
      </c>
      <c r="N19" s="65">
        <f t="shared" si="22"/>
        <v>6.0000000000000036</v>
      </c>
      <c r="O19" s="66">
        <f t="shared" si="15"/>
        <v>13.983021689204705</v>
      </c>
      <c r="P19" s="7">
        <f t="shared" si="16"/>
        <v>1</v>
      </c>
      <c r="Q19" s="67">
        <f t="shared" si="23"/>
        <v>0.64102564102564108</v>
      </c>
      <c r="R19" s="68">
        <f t="shared" si="17"/>
        <v>0.64102564102564108</v>
      </c>
      <c r="S19" s="67">
        <f t="shared" si="18"/>
        <v>0.84571850485140276</v>
      </c>
      <c r="T19" s="69">
        <f t="shared" si="19"/>
        <v>0.84571850485140276</v>
      </c>
      <c r="U19" s="76">
        <f t="shared" si="24"/>
        <v>35.750000000000007</v>
      </c>
      <c r="V19" s="76">
        <f t="shared" si="25"/>
        <v>22.916666666666675</v>
      </c>
      <c r="W19" s="77">
        <f t="shared" si="26"/>
        <v>22.916666666666671</v>
      </c>
      <c r="Y19" s="3">
        <f t="shared" si="20"/>
        <v>87.005318400000021</v>
      </c>
      <c r="Z19" s="3">
        <f t="shared" si="21"/>
        <v>55.772640000000017</v>
      </c>
      <c r="AC19" s="78">
        <v>-22</v>
      </c>
      <c r="AD19" s="79">
        <v>0</v>
      </c>
      <c r="AE19" s="7">
        <f t="shared" si="27"/>
        <v>0</v>
      </c>
      <c r="AF19" s="7">
        <v>7.0000000000000001E-3</v>
      </c>
      <c r="AG19" s="80">
        <v>5.1299999999999998E-2</v>
      </c>
      <c r="AH19" s="366">
        <v>5.7077625570776253E-4</v>
      </c>
      <c r="AI19" s="366">
        <v>2.9680365296803654E-3</v>
      </c>
      <c r="AJ19" s="366">
        <v>8.3333333333333332E-3</v>
      </c>
      <c r="AK19" s="366">
        <v>4.1095890410958902E-2</v>
      </c>
    </row>
    <row r="20" spans="2:37" x14ac:dyDescent="0.25">
      <c r="B20" s="31" t="s">
        <v>116</v>
      </c>
      <c r="C20" s="88">
        <f>N3</f>
        <v>-1</v>
      </c>
      <c r="D20" s="23" t="s">
        <v>79</v>
      </c>
      <c r="F20" s="62">
        <v>-18</v>
      </c>
      <c r="G20" s="75">
        <f>IF($C$14=1,INDEX(AD23:AG23,1,'LTO HS-laskenta'!$C$13),INDEX(AH23:AK23,1,'LTO HS-laskenta'!$C$13))</f>
        <v>7.0776255707762558E-3</v>
      </c>
      <c r="H20" s="62">
        <f t="shared" si="28"/>
        <v>21</v>
      </c>
      <c r="I20" s="64">
        <f t="shared" ref="I20:I50" si="31">MAX(J20:K20)</f>
        <v>-5</v>
      </c>
      <c r="J20" s="65">
        <f t="shared" si="11"/>
        <v>-5</v>
      </c>
      <c r="K20" s="65">
        <f t="shared" si="29"/>
        <v>-5</v>
      </c>
      <c r="L20" s="65">
        <f t="shared" si="30"/>
        <v>-12.137303184353307</v>
      </c>
      <c r="M20" s="52">
        <f t="shared" si="14"/>
        <v>20</v>
      </c>
      <c r="N20" s="65">
        <f t="shared" si="22"/>
        <v>7</v>
      </c>
      <c r="O20" s="66">
        <f t="shared" si="15"/>
        <v>14.137303184353307</v>
      </c>
      <c r="P20" s="7">
        <f t="shared" si="16"/>
        <v>1</v>
      </c>
      <c r="Q20" s="67">
        <f t="shared" si="23"/>
        <v>0.65789473684210531</v>
      </c>
      <c r="R20" s="68">
        <f t="shared" si="17"/>
        <v>0.65789473684210531</v>
      </c>
      <c r="S20" s="67">
        <f t="shared" si="18"/>
        <v>0.84571850485140276</v>
      </c>
      <c r="T20" s="69">
        <f t="shared" si="19"/>
        <v>0.84571850485140276</v>
      </c>
      <c r="U20" s="76">
        <f t="shared" si="24"/>
        <v>23.75</v>
      </c>
      <c r="V20" s="76">
        <f t="shared" si="25"/>
        <v>15.625</v>
      </c>
      <c r="W20" s="77">
        <f t="shared" si="26"/>
        <v>15.625</v>
      </c>
      <c r="Y20" s="3">
        <f t="shared" si="20"/>
        <v>57.800736000000001</v>
      </c>
      <c r="Z20" s="3">
        <f t="shared" si="21"/>
        <v>38.026800000000009</v>
      </c>
      <c r="AC20" s="89">
        <v>-21</v>
      </c>
      <c r="AD20" s="90">
        <v>0</v>
      </c>
      <c r="AE20" s="91">
        <f t="shared" si="27"/>
        <v>0</v>
      </c>
      <c r="AF20" s="91">
        <v>8.6999999999999994E-3</v>
      </c>
      <c r="AG20" s="92">
        <v>5.74E-2</v>
      </c>
      <c r="AH20" s="366">
        <v>1.1415525114155251E-3</v>
      </c>
      <c r="AI20" s="366">
        <v>4.5662100456621002E-3</v>
      </c>
      <c r="AJ20" s="366">
        <v>1.0616438356164383E-2</v>
      </c>
      <c r="AK20" s="366">
        <v>4.8059360730593609E-2</v>
      </c>
    </row>
    <row r="21" spans="2:37" x14ac:dyDescent="0.25">
      <c r="F21" s="62">
        <v>-17</v>
      </c>
      <c r="G21" s="75">
        <f>IF($C$14=1,INDEX(AD24:AG24,1,'LTO HS-laskenta'!$C$13),INDEX(AH24:AK24,1,'LTO HS-laskenta'!$C$13))</f>
        <v>9.2465753424657536E-3</v>
      </c>
      <c r="H21" s="62">
        <f t="shared" si="28"/>
        <v>21</v>
      </c>
      <c r="I21" s="64">
        <f t="shared" si="31"/>
        <v>-5</v>
      </c>
      <c r="J21" s="65">
        <f t="shared" si="11"/>
        <v>-5</v>
      </c>
      <c r="K21" s="65">
        <f t="shared" si="29"/>
        <v>-5</v>
      </c>
      <c r="L21" s="65">
        <f t="shared" si="30"/>
        <v>-11.291584679501902</v>
      </c>
      <c r="M21" s="52">
        <f t="shared" si="14"/>
        <v>20</v>
      </c>
      <c r="N21" s="65">
        <f t="shared" si="22"/>
        <v>8</v>
      </c>
      <c r="O21" s="66">
        <f t="shared" si="15"/>
        <v>14.291584679501902</v>
      </c>
      <c r="P21" s="7">
        <f t="shared" si="16"/>
        <v>1</v>
      </c>
      <c r="Q21" s="67">
        <f>MIN(R21/P21,(H21-F21)/(M21-F21))</f>
        <v>0.67567567567567566</v>
      </c>
      <c r="R21" s="68">
        <f>(M21-J21)/(M21-F21)</f>
        <v>0.67567567567567566</v>
      </c>
      <c r="S21" s="67">
        <f t="shared" si="18"/>
        <v>0.84571850485140276</v>
      </c>
      <c r="T21" s="69">
        <f t="shared" si="19"/>
        <v>0.84571850485140276</v>
      </c>
      <c r="U21" s="76">
        <f>(G21-G20)*(M21-F21)*365</f>
        <v>29.291666666666668</v>
      </c>
      <c r="V21" s="76">
        <f t="shared" si="25"/>
        <v>19.791666666666668</v>
      </c>
      <c r="W21" s="77">
        <f t="shared" si="26"/>
        <v>19.791666666666668</v>
      </c>
      <c r="Y21" s="3">
        <f t="shared" si="20"/>
        <v>71.287574399999997</v>
      </c>
      <c r="Z21" s="3">
        <f t="shared" si="21"/>
        <v>48.167280000000012</v>
      </c>
      <c r="AC21" s="78">
        <v>-20</v>
      </c>
      <c r="AD21" s="79">
        <v>8.0000000000000004E-4</v>
      </c>
      <c r="AE21" s="7">
        <f t="shared" si="27"/>
        <v>8.0000000000000004E-4</v>
      </c>
      <c r="AF21" s="7">
        <v>1.2200000000000001E-2</v>
      </c>
      <c r="AG21" s="80">
        <v>6.4299999999999996E-2</v>
      </c>
      <c r="AH21" s="366">
        <v>2.8538812785388126E-3</v>
      </c>
      <c r="AI21" s="366">
        <v>5.8219178082191785E-3</v>
      </c>
      <c r="AJ21" s="366">
        <v>1.2671232876712329E-2</v>
      </c>
      <c r="AK21" s="366">
        <v>5.5251141552511415E-2</v>
      </c>
    </row>
    <row r="22" spans="2:37" x14ac:dyDescent="0.25">
      <c r="C22" s="2">
        <f>C6/(C7+(C16/24*C15))</f>
        <v>1</v>
      </c>
      <c r="F22" s="62">
        <v>-16</v>
      </c>
      <c r="G22" s="75">
        <f>IF($C$14=1,INDEX(AD25:AG25,1,'LTO HS-laskenta'!$C$13),INDEX(AH25:AK25,1,'LTO HS-laskenta'!$C$13))</f>
        <v>1.1872146118721462E-2</v>
      </c>
      <c r="H22" s="62">
        <f t="shared" si="28"/>
        <v>21</v>
      </c>
      <c r="I22" s="64">
        <f t="shared" si="31"/>
        <v>-5</v>
      </c>
      <c r="J22" s="65">
        <f t="shared" si="11"/>
        <v>-5</v>
      </c>
      <c r="K22" s="65">
        <f t="shared" si="29"/>
        <v>-5</v>
      </c>
      <c r="L22" s="65">
        <f t="shared" si="30"/>
        <v>-10.445866174650501</v>
      </c>
      <c r="M22" s="52">
        <f t="shared" si="14"/>
        <v>20</v>
      </c>
      <c r="N22" s="65">
        <f t="shared" si="22"/>
        <v>9</v>
      </c>
      <c r="O22" s="66">
        <f t="shared" si="15"/>
        <v>14.445866174650501</v>
      </c>
      <c r="P22" s="7">
        <f t="shared" si="16"/>
        <v>1</v>
      </c>
      <c r="Q22" s="67">
        <f t="shared" ref="Q22:Q50" si="32">MIN(R22/P22,(H22-F22)/(M22-F22))</f>
        <v>0.69444444444444442</v>
      </c>
      <c r="R22" s="68">
        <f t="shared" ref="R22:R49" si="33">(M22-J22)/(M22-F22)</f>
        <v>0.69444444444444442</v>
      </c>
      <c r="S22" s="67">
        <f t="shared" si="18"/>
        <v>0.84571850485140276</v>
      </c>
      <c r="T22" s="69">
        <f t="shared" si="19"/>
        <v>0.84571850485140276</v>
      </c>
      <c r="U22" s="76">
        <f t="shared" ref="U22:U50" si="34">(G22-G21)*(M22-F22)*365</f>
        <v>34.5</v>
      </c>
      <c r="V22" s="76">
        <f>(G22-G21)*(N22-F22)*365</f>
        <v>23.958333333333336</v>
      </c>
      <c r="W22" s="77">
        <f>(G22-G21)*(M22-I22)*365</f>
        <v>23.958333333333336</v>
      </c>
      <c r="Y22" s="3">
        <f t="shared" si="20"/>
        <v>83.9631744</v>
      </c>
      <c r="Z22" s="3">
        <f t="shared" si="21"/>
        <v>58.307760000000016</v>
      </c>
      <c r="AC22" s="78">
        <v>-19</v>
      </c>
      <c r="AD22" s="79">
        <v>3.0000000000000001E-3</v>
      </c>
      <c r="AE22" s="7">
        <f t="shared" si="27"/>
        <v>3.0000000000000001E-3</v>
      </c>
      <c r="AF22" s="7">
        <v>1.9300000000000001E-2</v>
      </c>
      <c r="AG22" s="80">
        <v>7.1199999999999999E-2</v>
      </c>
      <c r="AH22" s="366">
        <v>5.3652968036529683E-3</v>
      </c>
      <c r="AI22" s="366">
        <v>7.7625570776255707E-3</v>
      </c>
      <c r="AJ22" s="366">
        <v>1.6552511415525113E-2</v>
      </c>
      <c r="AK22" s="366">
        <v>6.2557077625570778E-2</v>
      </c>
    </row>
    <row r="23" spans="2:37" ht="14.25" thickBot="1" x14ac:dyDescent="0.3">
      <c r="F23" s="62">
        <v>-15</v>
      </c>
      <c r="G23" s="75">
        <f>IF($C$14=1,INDEX(AD26:AG26,1,'LTO HS-laskenta'!$C$13),INDEX(AH26:AK26,1,'LTO HS-laskenta'!$C$13))</f>
        <v>1.632420091324201E-2</v>
      </c>
      <c r="H23" s="62">
        <f t="shared" si="28"/>
        <v>21</v>
      </c>
      <c r="I23" s="64">
        <f t="shared" si="31"/>
        <v>-5</v>
      </c>
      <c r="J23" s="65">
        <f t="shared" si="11"/>
        <v>-5</v>
      </c>
      <c r="K23" s="65">
        <f t="shared" si="29"/>
        <v>-5</v>
      </c>
      <c r="L23" s="65">
        <f t="shared" si="30"/>
        <v>-9.600147669799096</v>
      </c>
      <c r="M23" s="52">
        <f t="shared" si="14"/>
        <v>20</v>
      </c>
      <c r="N23" s="65">
        <f t="shared" si="22"/>
        <v>10</v>
      </c>
      <c r="O23" s="66">
        <f t="shared" si="15"/>
        <v>14.600147669799096</v>
      </c>
      <c r="P23" s="7">
        <f t="shared" si="16"/>
        <v>1</v>
      </c>
      <c r="Q23" s="67">
        <f t="shared" si="32"/>
        <v>0.7142857142857143</v>
      </c>
      <c r="R23" s="68">
        <f t="shared" si="33"/>
        <v>0.7142857142857143</v>
      </c>
      <c r="S23" s="67">
        <f t="shared" si="18"/>
        <v>0.84571850485140276</v>
      </c>
      <c r="T23" s="69">
        <f t="shared" si="19"/>
        <v>0.84571850485140276</v>
      </c>
      <c r="U23" s="76">
        <f t="shared" si="34"/>
        <v>56.875000000000014</v>
      </c>
      <c r="V23" s="76">
        <f t="shared" si="25"/>
        <v>40.625000000000007</v>
      </c>
      <c r="W23" s="77">
        <f t="shared" si="26"/>
        <v>40.625000000000007</v>
      </c>
      <c r="Y23" s="3">
        <f t="shared" si="20"/>
        <v>138.417552</v>
      </c>
      <c r="Z23" s="3">
        <f t="shared" si="21"/>
        <v>98.869680000000031</v>
      </c>
      <c r="AC23" s="78">
        <v>-18</v>
      </c>
      <c r="AD23" s="79">
        <v>5.5999999999999999E-3</v>
      </c>
      <c r="AE23" s="7">
        <f t="shared" si="27"/>
        <v>5.5999999999999999E-3</v>
      </c>
      <c r="AF23" s="7">
        <v>2.69E-2</v>
      </c>
      <c r="AG23" s="80">
        <v>7.8899999999999998E-2</v>
      </c>
      <c r="AH23" s="366">
        <v>7.0776255707762558E-3</v>
      </c>
      <c r="AI23" s="366">
        <v>1.0045662100456621E-2</v>
      </c>
      <c r="AJ23" s="366">
        <v>1.8949771689497717E-2</v>
      </c>
      <c r="AK23" s="366">
        <v>6.803652968036529E-2</v>
      </c>
    </row>
    <row r="24" spans="2:37" ht="14.25" thickBot="1" x14ac:dyDescent="0.3">
      <c r="B24" s="93" t="s">
        <v>117</v>
      </c>
      <c r="C24" s="94"/>
      <c r="D24" s="95">
        <f>MIN(V4*C18/U4,1)</f>
        <v>0.83251095010617526</v>
      </c>
      <c r="F24" s="62">
        <v>-14</v>
      </c>
      <c r="G24" s="75">
        <f>IF($C$14=1,INDEX(AD27:AG27,1,'LTO HS-laskenta'!$C$13),INDEX(AH27:AK27,1,'LTO HS-laskenta'!$C$13))</f>
        <v>2.1917808219178082E-2</v>
      </c>
      <c r="H24" s="62">
        <f t="shared" si="28"/>
        <v>21</v>
      </c>
      <c r="I24" s="64">
        <f t="shared" si="31"/>
        <v>-5</v>
      </c>
      <c r="J24" s="65">
        <f t="shared" si="11"/>
        <v>-5</v>
      </c>
      <c r="K24" s="65">
        <f t="shared" si="29"/>
        <v>-5</v>
      </c>
      <c r="L24" s="65">
        <f t="shared" si="30"/>
        <v>-8.7544291649476946</v>
      </c>
      <c r="M24" s="52">
        <f t="shared" si="14"/>
        <v>20</v>
      </c>
      <c r="N24" s="65">
        <f t="shared" si="22"/>
        <v>11</v>
      </c>
      <c r="O24" s="66">
        <f t="shared" si="15"/>
        <v>14.754429164947695</v>
      </c>
      <c r="P24" s="7">
        <f t="shared" si="16"/>
        <v>1</v>
      </c>
      <c r="Q24" s="67">
        <f t="shared" si="32"/>
        <v>0.73529411764705888</v>
      </c>
      <c r="R24" s="68">
        <f t="shared" si="33"/>
        <v>0.73529411764705888</v>
      </c>
      <c r="S24" s="67">
        <f t="shared" si="18"/>
        <v>0.84571850485140276</v>
      </c>
      <c r="T24" s="69">
        <f t="shared" si="19"/>
        <v>0.84571850485140276</v>
      </c>
      <c r="U24" s="76">
        <f>(G24-G23)*(M24-F24)*365</f>
        <v>69.416666666666657</v>
      </c>
      <c r="V24" s="76">
        <f t="shared" si="25"/>
        <v>51.041666666666664</v>
      </c>
      <c r="W24" s="77">
        <f t="shared" si="26"/>
        <v>51.041666666666664</v>
      </c>
      <c r="Y24" s="3">
        <f t="shared" si="20"/>
        <v>168.94039679999995</v>
      </c>
      <c r="Z24" s="3">
        <f t="shared" si="21"/>
        <v>124.22087999999999</v>
      </c>
      <c r="AC24" s="78">
        <v>-17</v>
      </c>
      <c r="AD24" s="79">
        <v>8.0000000000000002E-3</v>
      </c>
      <c r="AE24" s="7">
        <f t="shared" si="27"/>
        <v>8.0000000000000002E-3</v>
      </c>
      <c r="AF24" s="7">
        <v>3.1699999999999999E-2</v>
      </c>
      <c r="AG24" s="80">
        <v>8.7900000000000006E-2</v>
      </c>
      <c r="AH24" s="366">
        <v>9.2465753424657536E-3</v>
      </c>
      <c r="AI24" s="366">
        <v>1.3127853881278538E-2</v>
      </c>
      <c r="AJ24" s="366">
        <v>2.3287671232876714E-2</v>
      </c>
      <c r="AK24" s="366">
        <v>7.4543378995433784E-2</v>
      </c>
    </row>
    <row r="25" spans="2:37" x14ac:dyDescent="0.25">
      <c r="D25" s="4">
        <v>83.06</v>
      </c>
      <c r="F25" s="62">
        <v>-13</v>
      </c>
      <c r="G25" s="75">
        <f>IF($C$14=1,INDEX(AD28:AG28,1,'LTO HS-laskenta'!$C$13),INDEX(AH28:AK28,1,'LTO HS-laskenta'!$C$13))</f>
        <v>2.8652968036529679E-2</v>
      </c>
      <c r="H25" s="62">
        <f t="shared" si="28"/>
        <v>21</v>
      </c>
      <c r="I25" s="64">
        <f t="shared" si="31"/>
        <v>-5</v>
      </c>
      <c r="J25" s="65">
        <f t="shared" si="11"/>
        <v>-5</v>
      </c>
      <c r="K25" s="65">
        <f t="shared" si="29"/>
        <v>-5</v>
      </c>
      <c r="L25" s="65">
        <f t="shared" si="30"/>
        <v>-7.9087106600962898</v>
      </c>
      <c r="M25" s="52">
        <f t="shared" si="14"/>
        <v>20</v>
      </c>
      <c r="N25" s="65">
        <f t="shared" si="22"/>
        <v>12</v>
      </c>
      <c r="O25" s="66">
        <f t="shared" si="15"/>
        <v>14.90871066009629</v>
      </c>
      <c r="P25" s="7">
        <f t="shared" si="16"/>
        <v>1</v>
      </c>
      <c r="Q25" s="67">
        <f t="shared" si="32"/>
        <v>0.75757575757575757</v>
      </c>
      <c r="R25" s="68">
        <f t="shared" si="33"/>
        <v>0.75757575757575757</v>
      </c>
      <c r="S25" s="67">
        <f t="shared" si="18"/>
        <v>0.84571850485140276</v>
      </c>
      <c r="T25" s="69">
        <f t="shared" si="19"/>
        <v>0.84571850485140276</v>
      </c>
      <c r="U25" s="76">
        <f t="shared" si="34"/>
        <v>81.124999999999986</v>
      </c>
      <c r="V25" s="76">
        <f t="shared" si="25"/>
        <v>61.458333333333321</v>
      </c>
      <c r="W25" s="77">
        <f t="shared" si="26"/>
        <v>61.458333333333321</v>
      </c>
      <c r="Y25" s="3">
        <f t="shared" si="20"/>
        <v>197.43514559999994</v>
      </c>
      <c r="Z25" s="3">
        <f t="shared" si="21"/>
        <v>149.57208</v>
      </c>
      <c r="AC25" s="78">
        <v>-16</v>
      </c>
      <c r="AD25" s="79">
        <v>1.14E-2</v>
      </c>
      <c r="AE25" s="7">
        <f t="shared" si="27"/>
        <v>1.14E-2</v>
      </c>
      <c r="AF25" s="7">
        <v>3.5400000000000001E-2</v>
      </c>
      <c r="AG25" s="80">
        <v>9.7900000000000001E-2</v>
      </c>
      <c r="AH25" s="366">
        <v>1.1872146118721462E-2</v>
      </c>
      <c r="AI25" s="366">
        <v>1.8264840182648401E-2</v>
      </c>
      <c r="AJ25" s="366">
        <v>2.8538812785388126E-2</v>
      </c>
      <c r="AK25" s="366">
        <v>8.1621004566210048E-2</v>
      </c>
    </row>
    <row r="26" spans="2:37" x14ac:dyDescent="0.25">
      <c r="F26" s="62">
        <v>-12</v>
      </c>
      <c r="G26" s="75">
        <f>IF($C$14=1,INDEX(AD29:AG29,1,'LTO HS-laskenta'!$C$13),INDEX(AH29:AK29,1,'LTO HS-laskenta'!$C$13))</f>
        <v>3.4589041095890408E-2</v>
      </c>
      <c r="H26" s="62">
        <f t="shared" si="28"/>
        <v>21</v>
      </c>
      <c r="I26" s="64">
        <f t="shared" si="31"/>
        <v>-5</v>
      </c>
      <c r="J26" s="65">
        <f t="shared" si="11"/>
        <v>-5</v>
      </c>
      <c r="K26" s="65">
        <f t="shared" si="29"/>
        <v>-5</v>
      </c>
      <c r="L26" s="65">
        <f t="shared" si="30"/>
        <v>-7.0629921552448884</v>
      </c>
      <c r="M26" s="52">
        <f t="shared" si="14"/>
        <v>20</v>
      </c>
      <c r="N26" s="65">
        <f t="shared" si="22"/>
        <v>13</v>
      </c>
      <c r="O26" s="66">
        <f t="shared" si="15"/>
        <v>15.062992155244888</v>
      </c>
      <c r="P26" s="7">
        <f t="shared" si="16"/>
        <v>1</v>
      </c>
      <c r="Q26" s="67">
        <f t="shared" si="32"/>
        <v>0.78125</v>
      </c>
      <c r="R26" s="68">
        <f t="shared" si="33"/>
        <v>0.78125</v>
      </c>
      <c r="S26" s="67">
        <f t="shared" si="18"/>
        <v>0.84571850485140276</v>
      </c>
      <c r="T26" s="69">
        <f t="shared" si="19"/>
        <v>0.84571850485140276</v>
      </c>
      <c r="U26" s="76">
        <f t="shared" si="34"/>
        <v>69.3333333333333</v>
      </c>
      <c r="V26" s="76">
        <f t="shared" si="25"/>
        <v>54.166666666666643</v>
      </c>
      <c r="W26" s="77">
        <f t="shared" si="26"/>
        <v>54.166666666666643</v>
      </c>
      <c r="Y26" s="3">
        <f t="shared" si="20"/>
        <v>168.73758719999992</v>
      </c>
      <c r="Z26" s="3">
        <f t="shared" si="21"/>
        <v>131.82623999999998</v>
      </c>
      <c r="AC26" s="78">
        <v>-15</v>
      </c>
      <c r="AD26" s="79">
        <v>1.77E-2</v>
      </c>
      <c r="AE26" s="7">
        <f t="shared" si="27"/>
        <v>1.77E-2</v>
      </c>
      <c r="AF26" s="7">
        <v>4.1099999999999998E-2</v>
      </c>
      <c r="AG26" s="80">
        <v>0.1076</v>
      </c>
      <c r="AH26" s="366">
        <v>1.632420091324201E-2</v>
      </c>
      <c r="AI26" s="366">
        <v>2.3287671232876714E-2</v>
      </c>
      <c r="AJ26" s="366">
        <v>3.5844748858447489E-2</v>
      </c>
      <c r="AK26" s="366">
        <v>9.0981735159817348E-2</v>
      </c>
    </row>
    <row r="27" spans="2:37" x14ac:dyDescent="0.25">
      <c r="F27" s="62">
        <v>-11</v>
      </c>
      <c r="G27" s="75">
        <f>IF($C$14=1,INDEX(AD30:AG30,1,'LTO HS-laskenta'!$C$13),INDEX(AH30:AK30,1,'LTO HS-laskenta'!$C$13))</f>
        <v>4.0639269406392696E-2</v>
      </c>
      <c r="H27" s="62">
        <f t="shared" si="28"/>
        <v>21</v>
      </c>
      <c r="I27" s="64">
        <f t="shared" si="31"/>
        <v>-5</v>
      </c>
      <c r="J27" s="65">
        <f t="shared" si="11"/>
        <v>-5</v>
      </c>
      <c r="K27" s="65">
        <f t="shared" si="29"/>
        <v>-5</v>
      </c>
      <c r="L27" s="65">
        <f t="shared" si="30"/>
        <v>-6.2172736503934871</v>
      </c>
      <c r="M27" s="52">
        <f t="shared" si="14"/>
        <v>20</v>
      </c>
      <c r="N27" s="65">
        <f t="shared" si="22"/>
        <v>14</v>
      </c>
      <c r="O27" s="66">
        <f t="shared" si="15"/>
        <v>15.217273650393487</v>
      </c>
      <c r="P27" s="7">
        <f t="shared" si="16"/>
        <v>1</v>
      </c>
      <c r="Q27" s="67">
        <f t="shared" si="32"/>
        <v>0.80645161290322576</v>
      </c>
      <c r="R27" s="68">
        <f t="shared" si="33"/>
        <v>0.80645161290322576</v>
      </c>
      <c r="S27" s="67">
        <f t="shared" si="18"/>
        <v>0.84571850485140276</v>
      </c>
      <c r="T27" s="69">
        <f t="shared" si="19"/>
        <v>0.84571850485140276</v>
      </c>
      <c r="U27" s="76">
        <f t="shared" si="34"/>
        <v>68.4583333333334</v>
      </c>
      <c r="V27" s="76">
        <f t="shared" si="25"/>
        <v>55.208333333333378</v>
      </c>
      <c r="W27" s="77">
        <f t="shared" si="26"/>
        <v>55.208333333333378</v>
      </c>
      <c r="Y27" s="3">
        <f t="shared" si="20"/>
        <v>166.60808640000013</v>
      </c>
      <c r="Z27" s="3">
        <f t="shared" si="21"/>
        <v>134.36136000000013</v>
      </c>
      <c r="AC27" s="78">
        <v>-14</v>
      </c>
      <c r="AD27" s="79">
        <v>2.7199999999999998E-2</v>
      </c>
      <c r="AE27" s="7">
        <f t="shared" si="27"/>
        <v>2.7199999999999998E-2</v>
      </c>
      <c r="AF27" s="7">
        <v>4.58E-2</v>
      </c>
      <c r="AG27" s="80">
        <v>0.1182</v>
      </c>
      <c r="AH27" s="366">
        <v>2.1917808219178082E-2</v>
      </c>
      <c r="AI27" s="366">
        <v>2.9794520547945205E-2</v>
      </c>
      <c r="AJ27" s="366">
        <v>4.3493150684931509E-2</v>
      </c>
      <c r="AK27" s="366">
        <v>0.10422374429223745</v>
      </c>
    </row>
    <row r="28" spans="2:37" x14ac:dyDescent="0.25">
      <c r="F28" s="62">
        <v>-10</v>
      </c>
      <c r="G28" s="75">
        <f>IF($C$14=1,INDEX(AD31:AG31,1,'LTO HS-laskenta'!$C$13),INDEX(AH31:AK31,1,'LTO HS-laskenta'!$C$13))</f>
        <v>4.6575342465753428E-2</v>
      </c>
      <c r="H28" s="62">
        <f t="shared" si="28"/>
        <v>21</v>
      </c>
      <c r="I28" s="64">
        <f t="shared" si="31"/>
        <v>-5</v>
      </c>
      <c r="J28" s="65">
        <f t="shared" si="11"/>
        <v>-5</v>
      </c>
      <c r="K28" s="65">
        <f t="shared" si="29"/>
        <v>-5</v>
      </c>
      <c r="L28" s="65">
        <f t="shared" si="30"/>
        <v>-5.3715551455420822</v>
      </c>
      <c r="M28" s="52">
        <f t="shared" si="14"/>
        <v>20</v>
      </c>
      <c r="N28" s="65">
        <f t="shared" si="22"/>
        <v>15</v>
      </c>
      <c r="O28" s="66">
        <f t="shared" si="15"/>
        <v>15.371555145542082</v>
      </c>
      <c r="P28" s="7">
        <f t="shared" si="16"/>
        <v>1</v>
      </c>
      <c r="Q28" s="67">
        <f t="shared" si="32"/>
        <v>0.83333333333333337</v>
      </c>
      <c r="R28" s="68">
        <f t="shared" si="33"/>
        <v>0.83333333333333337</v>
      </c>
      <c r="S28" s="67">
        <f t="shared" si="18"/>
        <v>0.84571850485140276</v>
      </c>
      <c r="T28" s="69">
        <f t="shared" si="19"/>
        <v>0.84571850485140276</v>
      </c>
      <c r="U28" s="76">
        <f t="shared" si="34"/>
        <v>65.000000000000014</v>
      </c>
      <c r="V28" s="76">
        <f t="shared" si="25"/>
        <v>54.166666666666671</v>
      </c>
      <c r="W28" s="77">
        <f t="shared" si="26"/>
        <v>54.166666666666671</v>
      </c>
      <c r="Y28" s="3">
        <f t="shared" si="20"/>
        <v>158.19148800000002</v>
      </c>
      <c r="Z28" s="3">
        <f t="shared" si="21"/>
        <v>131.82624000000004</v>
      </c>
      <c r="AC28" s="78">
        <v>-13</v>
      </c>
      <c r="AD28" s="79">
        <v>3.44E-2</v>
      </c>
      <c r="AE28" s="7">
        <f t="shared" si="27"/>
        <v>3.44E-2</v>
      </c>
      <c r="AF28" s="7">
        <v>5.0099999999999999E-2</v>
      </c>
      <c r="AG28" s="80">
        <v>0.1293</v>
      </c>
      <c r="AH28" s="366">
        <v>2.8652968036529679E-2</v>
      </c>
      <c r="AI28" s="366">
        <v>3.6529680365296802E-2</v>
      </c>
      <c r="AJ28" s="366">
        <v>5.1598173515981734E-2</v>
      </c>
      <c r="AK28" s="366">
        <v>0.11746575342465754</v>
      </c>
    </row>
    <row r="29" spans="2:37" x14ac:dyDescent="0.25">
      <c r="B29" t="s">
        <v>365</v>
      </c>
      <c r="F29" s="62">
        <v>-9</v>
      </c>
      <c r="G29" s="75">
        <f>IF($C$14=1,INDEX(AD32:AG32,1,'LTO HS-laskenta'!$C$13),INDEX(AH32:AK32,1,'LTO HS-laskenta'!$C$13))</f>
        <v>5.4680365296803653E-2</v>
      </c>
      <c r="H29" s="62">
        <f t="shared" si="28"/>
        <v>21</v>
      </c>
      <c r="I29" s="64">
        <f t="shared" si="31"/>
        <v>-4.5258366406906809</v>
      </c>
      <c r="J29" s="65">
        <f t="shared" si="11"/>
        <v>-4.5258366406906809</v>
      </c>
      <c r="K29" s="65">
        <f t="shared" si="29"/>
        <v>-4.5258366406906809</v>
      </c>
      <c r="L29" s="65">
        <f t="shared" si="30"/>
        <v>-4.5258366406906809</v>
      </c>
      <c r="M29" s="52">
        <f t="shared" si="14"/>
        <v>20</v>
      </c>
      <c r="N29" s="65">
        <f t="shared" si="22"/>
        <v>15.525836640690681</v>
      </c>
      <c r="O29" s="66">
        <f>F29+S29/P29*(M29-F29)</f>
        <v>15.525836640690681</v>
      </c>
      <c r="P29" s="7">
        <f t="shared" si="16"/>
        <v>1</v>
      </c>
      <c r="Q29" s="67">
        <f t="shared" si="32"/>
        <v>0.84571850485140276</v>
      </c>
      <c r="R29" s="68">
        <f t="shared" si="33"/>
        <v>0.84571850485140276</v>
      </c>
      <c r="S29" s="67">
        <f t="shared" si="18"/>
        <v>0.84571850485140276</v>
      </c>
      <c r="T29" s="69">
        <f t="shared" si="19"/>
        <v>0.84571850485140276</v>
      </c>
      <c r="U29" s="76">
        <f t="shared" si="34"/>
        <v>85.791666666666629</v>
      </c>
      <c r="V29" s="76">
        <f t="shared" si="25"/>
        <v>72.55560006204324</v>
      </c>
      <c r="W29" s="77">
        <f t="shared" si="26"/>
        <v>72.55560006204324</v>
      </c>
      <c r="Y29" s="3">
        <f t="shared" si="20"/>
        <v>208.79248319999994</v>
      </c>
      <c r="Z29" s="3">
        <f t="shared" si="21"/>
        <v>176.57966671611561</v>
      </c>
      <c r="AC29" s="78">
        <v>-12</v>
      </c>
      <c r="AD29" s="79">
        <v>4.2599999999999999E-2</v>
      </c>
      <c r="AE29" s="7">
        <f t="shared" si="27"/>
        <v>4.2599999999999999E-2</v>
      </c>
      <c r="AF29" s="7">
        <v>5.5100000000000003E-2</v>
      </c>
      <c r="AG29" s="80">
        <v>0.14729999999999999</v>
      </c>
      <c r="AH29" s="366">
        <v>3.4589041095890408E-2</v>
      </c>
      <c r="AI29" s="366">
        <v>4.1324200913242008E-2</v>
      </c>
      <c r="AJ29" s="366">
        <v>6.095890410958904E-2</v>
      </c>
      <c r="AK29" s="366">
        <v>0.13344748858447489</v>
      </c>
    </row>
    <row r="30" spans="2:37" x14ac:dyDescent="0.25">
      <c r="B30" t="s">
        <v>125</v>
      </c>
      <c r="F30" s="62">
        <v>-8</v>
      </c>
      <c r="G30" s="75">
        <f>IF($C$14=1,INDEX(AD33:AG33,1,'LTO HS-laskenta'!$C$13),INDEX(AH33:AK33,1,'LTO HS-laskenta'!$C$13))</f>
        <v>6.3356164383561647E-2</v>
      </c>
      <c r="H30" s="62">
        <f t="shared" si="28"/>
        <v>21</v>
      </c>
      <c r="I30" s="64">
        <f t="shared" si="31"/>
        <v>-3.6801181358392761</v>
      </c>
      <c r="J30" s="65">
        <f t="shared" si="11"/>
        <v>-3.6801181358392761</v>
      </c>
      <c r="K30" s="65">
        <f t="shared" si="29"/>
        <v>-3.6801181358392761</v>
      </c>
      <c r="L30" s="65">
        <f t="shared" si="30"/>
        <v>-3.6801181358392761</v>
      </c>
      <c r="M30" s="52">
        <f t="shared" si="14"/>
        <v>20</v>
      </c>
      <c r="N30" s="65">
        <f t="shared" si="22"/>
        <v>15.680118135839276</v>
      </c>
      <c r="O30" s="66">
        <f t="shared" ref="O30:O50" si="35">F30+S30/P30*(M30-F30)</f>
        <v>15.680118135839276</v>
      </c>
      <c r="P30" s="7">
        <f t="shared" si="16"/>
        <v>1</v>
      </c>
      <c r="Q30" s="67">
        <f t="shared" si="32"/>
        <v>0.84571850485140276</v>
      </c>
      <c r="R30" s="68">
        <f t="shared" si="33"/>
        <v>0.84571850485140276</v>
      </c>
      <c r="S30" s="67">
        <f t="shared" si="18"/>
        <v>0.84571850485140276</v>
      </c>
      <c r="T30" s="69">
        <f t="shared" si="19"/>
        <v>0.84571850485140276</v>
      </c>
      <c r="U30" s="76">
        <f t="shared" si="34"/>
        <v>88.6666666666667</v>
      </c>
      <c r="V30" s="76">
        <f t="shared" si="25"/>
        <v>74.987040763491066</v>
      </c>
      <c r="W30" s="77">
        <f t="shared" si="26"/>
        <v>74.987040763491066</v>
      </c>
      <c r="Y30" s="3">
        <f t="shared" si="20"/>
        <v>215.78941440000006</v>
      </c>
      <c r="Z30" s="3">
        <f t="shared" si="21"/>
        <v>182.49710090912785</v>
      </c>
      <c r="AC30" s="78">
        <v>-11</v>
      </c>
      <c r="AD30" s="79">
        <v>4.8500000000000001E-2</v>
      </c>
      <c r="AE30" s="7">
        <f t="shared" si="27"/>
        <v>4.8500000000000001E-2</v>
      </c>
      <c r="AF30" s="7">
        <v>6.13E-2</v>
      </c>
      <c r="AG30" s="80">
        <v>0.1663</v>
      </c>
      <c r="AH30" s="366">
        <v>4.0639269406392696E-2</v>
      </c>
      <c r="AI30" s="366">
        <v>4.8401826484018265E-2</v>
      </c>
      <c r="AJ30" s="366">
        <v>7.1575342465753422E-2</v>
      </c>
      <c r="AK30" s="366">
        <v>0.15136986301369862</v>
      </c>
    </row>
    <row r="31" spans="2:37" x14ac:dyDescent="0.25">
      <c r="B31" t="s">
        <v>126</v>
      </c>
      <c r="F31" s="62">
        <v>-7</v>
      </c>
      <c r="G31" s="75">
        <f>IF($C$14=1,INDEX(AD34:AG34,1,'LTO HS-laskenta'!$C$13),INDEX(AH34:AK34,1,'LTO HS-laskenta'!$C$13))</f>
        <v>7.4999999999999997E-2</v>
      </c>
      <c r="H31" s="62">
        <f t="shared" si="28"/>
        <v>21</v>
      </c>
      <c r="I31" s="64">
        <f t="shared" si="31"/>
        <v>-2.8343996309878747</v>
      </c>
      <c r="J31" s="65">
        <f t="shared" si="11"/>
        <v>-2.8343996309878747</v>
      </c>
      <c r="K31" s="65">
        <f t="shared" si="29"/>
        <v>-2.8343996309878747</v>
      </c>
      <c r="L31" s="65">
        <f t="shared" si="30"/>
        <v>-2.8343996309878747</v>
      </c>
      <c r="M31" s="52">
        <f t="shared" si="14"/>
        <v>20</v>
      </c>
      <c r="N31" s="65">
        <f t="shared" si="22"/>
        <v>15.834399630987875</v>
      </c>
      <c r="O31" s="66">
        <f t="shared" si="35"/>
        <v>15.834399630987875</v>
      </c>
      <c r="P31" s="7">
        <f t="shared" si="16"/>
        <v>1</v>
      </c>
      <c r="Q31" s="67">
        <f>MIN(R31/P31,(H31-F31)/(M31-F31))</f>
        <v>0.84571850485140276</v>
      </c>
      <c r="R31" s="68">
        <f t="shared" si="33"/>
        <v>0.84571850485140276</v>
      </c>
      <c r="S31" s="67">
        <f t="shared" si="18"/>
        <v>0.84571850485140276</v>
      </c>
      <c r="T31" s="69">
        <f t="shared" si="19"/>
        <v>0.84571850485140276</v>
      </c>
      <c r="U31" s="76">
        <f t="shared" si="34"/>
        <v>114.74999999999994</v>
      </c>
      <c r="V31" s="76">
        <f t="shared" si="25"/>
        <v>97.046198431698429</v>
      </c>
      <c r="W31" s="77">
        <f t="shared" si="26"/>
        <v>97.046198431698429</v>
      </c>
      <c r="Y31" s="3">
        <f t="shared" si="20"/>
        <v>279.26881919999983</v>
      </c>
      <c r="Z31" s="3">
        <f t="shared" si="21"/>
        <v>236.1828082254406</v>
      </c>
      <c r="AC31" s="78">
        <v>-10</v>
      </c>
      <c r="AD31" s="79">
        <v>5.4100000000000002E-2</v>
      </c>
      <c r="AE31" s="7">
        <f t="shared" si="27"/>
        <v>5.4100000000000002E-2</v>
      </c>
      <c r="AF31" s="7">
        <v>7.0000000000000007E-2</v>
      </c>
      <c r="AG31" s="80">
        <v>0.18390000000000001</v>
      </c>
      <c r="AH31" s="366">
        <v>4.6575342465753428E-2</v>
      </c>
      <c r="AI31" s="366">
        <v>5.6963470319634703E-2</v>
      </c>
      <c r="AJ31" s="366">
        <v>8.3105022831050229E-2</v>
      </c>
      <c r="AK31" s="366">
        <v>0.16860730593607307</v>
      </c>
    </row>
    <row r="32" spans="2:37" x14ac:dyDescent="0.25">
      <c r="B32" t="s">
        <v>127</v>
      </c>
      <c r="F32" s="62">
        <v>-6</v>
      </c>
      <c r="G32" s="75">
        <f>IF($C$14=1,INDEX(AD35:AG35,1,'LTO HS-laskenta'!$C$13),INDEX(AH35:AK35,1,'LTO HS-laskenta'!$C$13))</f>
        <v>8.8470319634703198E-2</v>
      </c>
      <c r="H32" s="62">
        <f t="shared" si="28"/>
        <v>21</v>
      </c>
      <c r="I32" s="64">
        <f t="shared" si="31"/>
        <v>-1.9886811261364734</v>
      </c>
      <c r="J32" s="65">
        <f t="shared" si="11"/>
        <v>-1.9886811261364734</v>
      </c>
      <c r="K32" s="65">
        <f t="shared" si="29"/>
        <v>-1.9886811261364734</v>
      </c>
      <c r="L32" s="65">
        <f t="shared" si="30"/>
        <v>-1.9886811261364734</v>
      </c>
      <c r="M32" s="52">
        <f t="shared" si="14"/>
        <v>20</v>
      </c>
      <c r="N32" s="65">
        <f t="shared" si="22"/>
        <v>15.988681126136473</v>
      </c>
      <c r="O32" s="66">
        <f t="shared" si="35"/>
        <v>15.988681126136473</v>
      </c>
      <c r="P32" s="7">
        <f t="shared" si="16"/>
        <v>1</v>
      </c>
      <c r="Q32" s="67">
        <f t="shared" si="32"/>
        <v>0.84571850485140287</v>
      </c>
      <c r="R32" s="68">
        <f t="shared" si="33"/>
        <v>0.84571850485140287</v>
      </c>
      <c r="S32" s="67">
        <f t="shared" si="18"/>
        <v>0.84571850485140276</v>
      </c>
      <c r="T32" s="69">
        <f t="shared" si="19"/>
        <v>0.84571850485140276</v>
      </c>
      <c r="U32" s="76">
        <f t="shared" si="34"/>
        <v>127.83333333333337</v>
      </c>
      <c r="V32" s="76">
        <f t="shared" si="25"/>
        <v>108.1110155368377</v>
      </c>
      <c r="W32" s="77">
        <f t="shared" si="26"/>
        <v>108.1110155368377</v>
      </c>
      <c r="Y32" s="3">
        <f t="shared" si="20"/>
        <v>311.10992640000006</v>
      </c>
      <c r="Z32" s="3">
        <f t="shared" si="21"/>
        <v>263.11142179943806</v>
      </c>
      <c r="AC32" s="78">
        <v>-9</v>
      </c>
      <c r="AD32" s="79">
        <v>5.9700000000000003E-2</v>
      </c>
      <c r="AE32" s="7">
        <f t="shared" si="27"/>
        <v>5.9700000000000003E-2</v>
      </c>
      <c r="AF32" s="7">
        <v>8.3699999999999997E-2</v>
      </c>
      <c r="AG32" s="80">
        <v>0.2041</v>
      </c>
      <c r="AH32" s="366">
        <v>5.4680365296803653E-2</v>
      </c>
      <c r="AI32" s="366">
        <v>6.7351598173515978E-2</v>
      </c>
      <c r="AJ32" s="366">
        <v>9.7945205479452055E-2</v>
      </c>
      <c r="AK32" s="366">
        <v>0.18630136986301371</v>
      </c>
    </row>
    <row r="33" spans="2:37" x14ac:dyDescent="0.25">
      <c r="F33" s="62">
        <v>-5</v>
      </c>
      <c r="G33" s="75">
        <f>IF($C$14=1,INDEX(AD36:AG36,1,'LTO HS-laskenta'!$C$13),INDEX(AH36:AK36,1,'LTO HS-laskenta'!$C$13))</f>
        <v>0.10547945205479452</v>
      </c>
      <c r="H33" s="62">
        <f t="shared" si="28"/>
        <v>21</v>
      </c>
      <c r="I33" s="64">
        <f t="shared" si="31"/>
        <v>-1.1429626212850685</v>
      </c>
      <c r="J33" s="65">
        <f t="shared" si="11"/>
        <v>-1.1429626212850685</v>
      </c>
      <c r="K33" s="65">
        <f t="shared" si="29"/>
        <v>-1.1429626212850685</v>
      </c>
      <c r="L33" s="65">
        <f t="shared" si="30"/>
        <v>-1.1429626212850685</v>
      </c>
      <c r="M33" s="52">
        <f t="shared" si="14"/>
        <v>20</v>
      </c>
      <c r="N33" s="65">
        <f t="shared" si="22"/>
        <v>16.142962621285069</v>
      </c>
      <c r="O33" s="66">
        <f t="shared" si="35"/>
        <v>16.142962621285069</v>
      </c>
      <c r="P33" s="7">
        <f t="shared" si="16"/>
        <v>1</v>
      </c>
      <c r="Q33" s="67">
        <f t="shared" si="32"/>
        <v>0.84571850485140276</v>
      </c>
      <c r="R33" s="68">
        <f t="shared" si="33"/>
        <v>0.84571850485140276</v>
      </c>
      <c r="S33" s="67">
        <f t="shared" si="18"/>
        <v>0.84571850485140276</v>
      </c>
      <c r="T33" s="69">
        <f t="shared" si="19"/>
        <v>0.84571850485140276</v>
      </c>
      <c r="U33" s="76">
        <f t="shared" si="34"/>
        <v>155.20833333333329</v>
      </c>
      <c r="V33" s="76">
        <f t="shared" si="25"/>
        <v>131.26255960714477</v>
      </c>
      <c r="W33" s="77">
        <f t="shared" si="26"/>
        <v>131.26255960714477</v>
      </c>
      <c r="Y33" s="3">
        <f t="shared" si="20"/>
        <v>377.73287999999991</v>
      </c>
      <c r="Z33" s="3">
        <f t="shared" si="21"/>
        <v>319.45568650681423</v>
      </c>
      <c r="AC33" s="78">
        <v>-8</v>
      </c>
      <c r="AD33" s="79">
        <v>6.8400000000000002E-2</v>
      </c>
      <c r="AE33" s="7">
        <f t="shared" si="27"/>
        <v>6.8400000000000002E-2</v>
      </c>
      <c r="AF33" s="7">
        <v>9.9699999999999997E-2</v>
      </c>
      <c r="AG33" s="80">
        <v>0.2223</v>
      </c>
      <c r="AH33" s="366">
        <v>6.3356164383561647E-2</v>
      </c>
      <c r="AI33" s="366">
        <v>7.6255707762557079E-2</v>
      </c>
      <c r="AJ33" s="366">
        <v>0.11666666666666667</v>
      </c>
      <c r="AK33" s="366">
        <v>0.20091324200913241</v>
      </c>
    </row>
    <row r="34" spans="2:37" x14ac:dyDescent="0.25">
      <c r="B34" t="s">
        <v>128</v>
      </c>
      <c r="F34" s="62">
        <v>-4</v>
      </c>
      <c r="G34" s="75">
        <f>IF($C$14=1,INDEX(AD37:AG37,1,'LTO HS-laskenta'!$C$13),INDEX(AH37:AK37,1,'LTO HS-laskenta'!$C$13))</f>
        <v>0.12888127853881279</v>
      </c>
      <c r="H34" s="62">
        <f t="shared" si="28"/>
        <v>21</v>
      </c>
      <c r="I34" s="64">
        <f t="shared" si="31"/>
        <v>-0.29724411643366722</v>
      </c>
      <c r="J34" s="65">
        <f t="shared" si="11"/>
        <v>-0.29724411643366722</v>
      </c>
      <c r="K34" s="65">
        <f t="shared" si="29"/>
        <v>-0.29724411643366722</v>
      </c>
      <c r="L34" s="65">
        <f t="shared" si="30"/>
        <v>-0.29724411643366722</v>
      </c>
      <c r="M34" s="52">
        <f t="shared" si="14"/>
        <v>20</v>
      </c>
      <c r="N34" s="65">
        <f t="shared" si="22"/>
        <v>16.297244116433667</v>
      </c>
      <c r="O34" s="66">
        <f t="shared" si="35"/>
        <v>16.297244116433667</v>
      </c>
      <c r="P34" s="7">
        <f t="shared" si="16"/>
        <v>1</v>
      </c>
      <c r="Q34" s="67">
        <f t="shared" si="32"/>
        <v>0.84571850485140276</v>
      </c>
      <c r="R34" s="68">
        <f t="shared" si="33"/>
        <v>0.84571850485140276</v>
      </c>
      <c r="S34" s="67">
        <f t="shared" si="18"/>
        <v>0.84571850485140276</v>
      </c>
      <c r="T34" s="69">
        <f t="shared" si="19"/>
        <v>0.84571850485140276</v>
      </c>
      <c r="U34" s="76">
        <f t="shared" si="34"/>
        <v>205.00000000000006</v>
      </c>
      <c r="V34" s="76">
        <f t="shared" si="25"/>
        <v>173.37229349453762</v>
      </c>
      <c r="W34" s="77">
        <f t="shared" si="26"/>
        <v>173.37229349453762</v>
      </c>
      <c r="Y34" s="3">
        <f t="shared" si="20"/>
        <v>498.91161599999998</v>
      </c>
      <c r="Z34" s="3">
        <f t="shared" si="21"/>
        <v>421.93878593651738</v>
      </c>
      <c r="AC34" s="78">
        <v>-7</v>
      </c>
      <c r="AD34" s="79">
        <v>8.2600000000000007E-2</v>
      </c>
      <c r="AE34" s="7">
        <f t="shared" si="27"/>
        <v>8.2600000000000007E-2</v>
      </c>
      <c r="AF34" s="7">
        <v>0.12720000000000001</v>
      </c>
      <c r="AG34" s="80">
        <v>0.2447</v>
      </c>
      <c r="AH34" s="366">
        <v>7.4999999999999997E-2</v>
      </c>
      <c r="AI34" s="366">
        <v>8.7785388127853886E-2</v>
      </c>
      <c r="AJ34" s="366">
        <v>0.13698630136986301</v>
      </c>
      <c r="AK34" s="366">
        <v>0.22237442922374429</v>
      </c>
    </row>
    <row r="35" spans="2:37" x14ac:dyDescent="0.25">
      <c r="B35" t="s">
        <v>362</v>
      </c>
      <c r="F35" s="62">
        <v>-3</v>
      </c>
      <c r="G35" s="75">
        <f>IF($C$14=1,INDEX(AD38:AG38,1,'LTO HS-laskenta'!$C$13),INDEX(AH38:AK38,1,'LTO HS-laskenta'!$C$13))</f>
        <v>0.15570776255707763</v>
      </c>
      <c r="H35" s="62">
        <f t="shared" si="28"/>
        <v>21</v>
      </c>
      <c r="I35" s="64">
        <f t="shared" si="31"/>
        <v>0.54847438841773766</v>
      </c>
      <c r="J35" s="65">
        <f t="shared" si="11"/>
        <v>0.54847438841773766</v>
      </c>
      <c r="K35" s="65">
        <f t="shared" si="29"/>
        <v>0.54847438841773766</v>
      </c>
      <c r="L35" s="65">
        <f t="shared" si="30"/>
        <v>0.54847438841773766</v>
      </c>
      <c r="M35" s="52">
        <f t="shared" si="14"/>
        <v>20</v>
      </c>
      <c r="N35" s="65">
        <f t="shared" si="22"/>
        <v>16.451525611582262</v>
      </c>
      <c r="O35" s="66">
        <f t="shared" si="35"/>
        <v>16.451525611582262</v>
      </c>
      <c r="P35" s="7">
        <f t="shared" si="16"/>
        <v>1</v>
      </c>
      <c r="Q35" s="67">
        <f>MIN(R35/P35,(H35-F35)/(M35-F35))</f>
        <v>0.84571850485140276</v>
      </c>
      <c r="R35" s="68">
        <f t="shared" si="33"/>
        <v>0.84571850485140276</v>
      </c>
      <c r="S35" s="67">
        <f t="shared" si="18"/>
        <v>0.84571850485140276</v>
      </c>
      <c r="T35" s="69">
        <f t="shared" si="19"/>
        <v>0.84571850485140276</v>
      </c>
      <c r="U35" s="76">
        <f t="shared" si="34"/>
        <v>225.2083333333334</v>
      </c>
      <c r="V35" s="76">
        <f t="shared" si="25"/>
        <v>190.46285494674302</v>
      </c>
      <c r="W35" s="77">
        <f t="shared" si="26"/>
        <v>190.46285494674302</v>
      </c>
      <c r="Y35" s="3">
        <f t="shared" si="20"/>
        <v>548.09294399999999</v>
      </c>
      <c r="Z35" s="3">
        <f t="shared" si="21"/>
        <v>463.53234511928372</v>
      </c>
      <c r="AC35" s="78">
        <v>-6</v>
      </c>
      <c r="AD35" s="79">
        <v>9.9299999999999999E-2</v>
      </c>
      <c r="AE35" s="7">
        <f t="shared" si="27"/>
        <v>9.9299999999999999E-2</v>
      </c>
      <c r="AF35" s="7">
        <v>0.1484</v>
      </c>
      <c r="AG35" s="80">
        <v>0.27010000000000001</v>
      </c>
      <c r="AH35" s="366">
        <v>8.8470319634703198E-2</v>
      </c>
      <c r="AI35" s="366">
        <v>0.1021689497716895</v>
      </c>
      <c r="AJ35" s="366">
        <v>0.16095890410958905</v>
      </c>
      <c r="AK35" s="366">
        <v>0.24121004566210047</v>
      </c>
    </row>
    <row r="36" spans="2:37" x14ac:dyDescent="0.25">
      <c r="F36" s="62">
        <v>-2</v>
      </c>
      <c r="G36" s="75">
        <f>IF($C$14=1,INDEX(AD39:AG39,1,'LTO HS-laskenta'!$C$13),INDEX(AH39:AK39,1,'LTO HS-laskenta'!$C$13))</f>
        <v>0.18424657534246575</v>
      </c>
      <c r="H36" s="62">
        <f t="shared" si="28"/>
        <v>21</v>
      </c>
      <c r="I36" s="64">
        <f t="shared" si="31"/>
        <v>1.394192893269139</v>
      </c>
      <c r="J36" s="65">
        <f t="shared" si="11"/>
        <v>1.394192893269139</v>
      </c>
      <c r="K36" s="65">
        <f t="shared" si="29"/>
        <v>1.394192893269139</v>
      </c>
      <c r="L36" s="65">
        <f t="shared" si="30"/>
        <v>1.394192893269139</v>
      </c>
      <c r="M36" s="52">
        <f t="shared" si="14"/>
        <v>20</v>
      </c>
      <c r="N36" s="65">
        <f t="shared" si="22"/>
        <v>16.605807106730861</v>
      </c>
      <c r="O36" s="66">
        <f t="shared" si="35"/>
        <v>16.605807106730861</v>
      </c>
      <c r="P36" s="7">
        <f t="shared" si="16"/>
        <v>1</v>
      </c>
      <c r="Q36" s="67">
        <f t="shared" si="32"/>
        <v>0.84571850485140276</v>
      </c>
      <c r="R36" s="68">
        <f t="shared" si="33"/>
        <v>0.84571850485140276</v>
      </c>
      <c r="S36" s="67">
        <f t="shared" si="18"/>
        <v>0.84571850485140276</v>
      </c>
      <c r="T36" s="69">
        <f t="shared" si="19"/>
        <v>0.84571850485140276</v>
      </c>
      <c r="U36" s="76">
        <f t="shared" si="34"/>
        <v>229.16666666666654</v>
      </c>
      <c r="V36" s="76">
        <f t="shared" si="25"/>
        <v>193.810490695113</v>
      </c>
      <c r="W36" s="77">
        <f t="shared" si="26"/>
        <v>193.810490695113</v>
      </c>
      <c r="Y36" s="3">
        <f t="shared" si="20"/>
        <v>557.72639999999978</v>
      </c>
      <c r="Z36" s="3">
        <f t="shared" si="21"/>
        <v>471.67953712415516</v>
      </c>
      <c r="AC36" s="78">
        <v>-5</v>
      </c>
      <c r="AD36" s="79">
        <v>0.1186</v>
      </c>
      <c r="AE36" s="7">
        <f t="shared" si="27"/>
        <v>0.1186</v>
      </c>
      <c r="AF36" s="7">
        <v>0.17749999999999999</v>
      </c>
      <c r="AG36" s="80">
        <v>0.30009999999999998</v>
      </c>
      <c r="AH36" s="366">
        <v>0.10547945205479452</v>
      </c>
      <c r="AI36" s="366">
        <v>0.12317351598173516</v>
      </c>
      <c r="AJ36" s="366">
        <v>0.18801369863013698</v>
      </c>
      <c r="AK36" s="366">
        <v>0.27180365296803655</v>
      </c>
    </row>
    <row r="37" spans="2:37" x14ac:dyDescent="0.25">
      <c r="F37" s="62">
        <v>-1</v>
      </c>
      <c r="G37" s="75">
        <f>IF($C$14=1,INDEX(AD40:AG40,1,'LTO HS-laskenta'!$C$13),INDEX(AH40:AK40,1,'LTO HS-laskenta'!$C$13))</f>
        <v>0.20924657534246574</v>
      </c>
      <c r="H37" s="62">
        <f t="shared" si="28"/>
        <v>21</v>
      </c>
      <c r="I37" s="64">
        <f t="shared" si="31"/>
        <v>2.2399113981205403</v>
      </c>
      <c r="J37" s="65">
        <f t="shared" si="11"/>
        <v>2.2399113981205403</v>
      </c>
      <c r="K37" s="65">
        <f t="shared" si="29"/>
        <v>2.2399113981205403</v>
      </c>
      <c r="L37" s="65">
        <f t="shared" si="30"/>
        <v>2.2399113981205403</v>
      </c>
      <c r="M37" s="52">
        <f t="shared" si="14"/>
        <v>20</v>
      </c>
      <c r="N37" s="65">
        <f t="shared" si="22"/>
        <v>16.76008860187946</v>
      </c>
      <c r="O37" s="66">
        <f t="shared" si="35"/>
        <v>16.76008860187946</v>
      </c>
      <c r="P37" s="7">
        <f t="shared" si="16"/>
        <v>1</v>
      </c>
      <c r="Q37" s="67">
        <f t="shared" si="32"/>
        <v>0.84571850485140287</v>
      </c>
      <c r="R37" s="68">
        <f t="shared" si="33"/>
        <v>0.84571850485140287</v>
      </c>
      <c r="S37" s="67">
        <f t="shared" si="18"/>
        <v>0.84571850485140276</v>
      </c>
      <c r="T37" s="69">
        <f t="shared" si="19"/>
        <v>0.84571850485140276</v>
      </c>
      <c r="U37" s="76">
        <f t="shared" si="34"/>
        <v>191.62499999999997</v>
      </c>
      <c r="V37" s="76">
        <f t="shared" si="25"/>
        <v>162.06080849215004</v>
      </c>
      <c r="W37" s="77">
        <f t="shared" si="26"/>
        <v>162.06080849215004</v>
      </c>
      <c r="Y37" s="3">
        <f t="shared" si="20"/>
        <v>466.36067519999983</v>
      </c>
      <c r="Z37" s="3">
        <f t="shared" si="21"/>
        <v>394.40985295163466</v>
      </c>
      <c r="AC37" s="78">
        <v>-4</v>
      </c>
      <c r="AD37" s="79">
        <v>0.13850000000000001</v>
      </c>
      <c r="AE37" s="7">
        <f t="shared" si="27"/>
        <v>0.13850000000000001</v>
      </c>
      <c r="AF37" s="7">
        <v>0.20749999999999999</v>
      </c>
      <c r="AG37" s="80">
        <v>0.32869999999999999</v>
      </c>
      <c r="AH37" s="366">
        <v>0.12888127853881279</v>
      </c>
      <c r="AI37" s="366">
        <v>0.14452054794520547</v>
      </c>
      <c r="AJ37" s="366">
        <v>0.2139269406392694</v>
      </c>
      <c r="AK37" s="366">
        <v>0.3065068493150685</v>
      </c>
    </row>
    <row r="38" spans="2:37" x14ac:dyDescent="0.25">
      <c r="F38" s="62">
        <v>0</v>
      </c>
      <c r="G38" s="75">
        <f>IF($C$14=1,INDEX(AD41:AG41,1,'LTO HS-laskenta'!$C$13),INDEX(AH41:AK41,1,'LTO HS-laskenta'!$C$13))</f>
        <v>0.24920091324200913</v>
      </c>
      <c r="H38" s="62">
        <f t="shared" si="28"/>
        <v>21</v>
      </c>
      <c r="I38" s="64">
        <f t="shared" si="31"/>
        <v>3.0856299029719452</v>
      </c>
      <c r="J38" s="65">
        <f t="shared" si="11"/>
        <v>3.0856299029719452</v>
      </c>
      <c r="K38" s="65">
        <f t="shared" si="29"/>
        <v>3.0856299029719452</v>
      </c>
      <c r="L38" s="65">
        <f t="shared" si="30"/>
        <v>3.0856299029719452</v>
      </c>
      <c r="M38" s="52">
        <f t="shared" si="14"/>
        <v>20</v>
      </c>
      <c r="N38" s="65">
        <f t="shared" si="22"/>
        <v>16.914370097028055</v>
      </c>
      <c r="O38" s="66">
        <f t="shared" si="35"/>
        <v>16.914370097028055</v>
      </c>
      <c r="P38" s="7">
        <f t="shared" si="16"/>
        <v>1</v>
      </c>
      <c r="Q38" s="67">
        <f t="shared" si="32"/>
        <v>0.84571850485140276</v>
      </c>
      <c r="R38" s="68">
        <f t="shared" si="33"/>
        <v>0.84571850485140276</v>
      </c>
      <c r="S38" s="67">
        <f t="shared" si="18"/>
        <v>0.84571850485140276</v>
      </c>
      <c r="T38" s="69">
        <f t="shared" si="19"/>
        <v>0.84571850485140276</v>
      </c>
      <c r="U38" s="76">
        <f t="shared" si="34"/>
        <v>291.66666666666674</v>
      </c>
      <c r="V38" s="76">
        <f t="shared" si="25"/>
        <v>246.66789724832586</v>
      </c>
      <c r="W38" s="77">
        <f t="shared" si="26"/>
        <v>246.66789724832586</v>
      </c>
      <c r="Y38" s="3">
        <f t="shared" si="20"/>
        <v>709.83360000000016</v>
      </c>
      <c r="Z38" s="3">
        <f t="shared" si="21"/>
        <v>600.3194108852889</v>
      </c>
      <c r="AC38" s="78">
        <v>-3</v>
      </c>
      <c r="AD38" s="79">
        <v>0.1605</v>
      </c>
      <c r="AE38" s="7">
        <f t="shared" si="27"/>
        <v>0.1605</v>
      </c>
      <c r="AF38" s="7">
        <v>0.245</v>
      </c>
      <c r="AG38" s="80">
        <v>0.35699999999999998</v>
      </c>
      <c r="AH38" s="366">
        <v>0.15570776255707763</v>
      </c>
      <c r="AI38" s="366">
        <v>0.16849315068493151</v>
      </c>
      <c r="AJ38" s="366">
        <v>0.24406392694063928</v>
      </c>
      <c r="AK38" s="366">
        <v>0.34178082191780823</v>
      </c>
    </row>
    <row r="39" spans="2:37" x14ac:dyDescent="0.25">
      <c r="F39" s="62">
        <v>1</v>
      </c>
      <c r="G39" s="75">
        <f>IF($C$14=1,INDEX(AD42:AG42,1,'LTO HS-laskenta'!$C$13),INDEX(AH42:AK42,1,'LTO HS-laskenta'!$C$13))</f>
        <v>0.30993150684931509</v>
      </c>
      <c r="H39" s="62">
        <f t="shared" si="28"/>
        <v>21</v>
      </c>
      <c r="I39" s="64">
        <f t="shared" si="31"/>
        <v>3.9313484078233465</v>
      </c>
      <c r="J39" s="65">
        <f t="shared" si="11"/>
        <v>3.9313484078233465</v>
      </c>
      <c r="K39" s="65">
        <f t="shared" si="29"/>
        <v>3.9313484078233465</v>
      </c>
      <c r="L39" s="65">
        <f t="shared" si="30"/>
        <v>3.9313484078233465</v>
      </c>
      <c r="M39" s="52">
        <f t="shared" si="14"/>
        <v>20</v>
      </c>
      <c r="N39" s="65">
        <f t="shared" si="22"/>
        <v>17.068651592176654</v>
      </c>
      <c r="O39" s="66">
        <f t="shared" si="35"/>
        <v>17.068651592176654</v>
      </c>
      <c r="P39" s="7">
        <f t="shared" si="16"/>
        <v>1</v>
      </c>
      <c r="Q39" s="67">
        <f t="shared" si="32"/>
        <v>0.84571850485140276</v>
      </c>
      <c r="R39" s="68">
        <f t="shared" si="33"/>
        <v>0.84571850485140276</v>
      </c>
      <c r="S39" s="67">
        <f t="shared" si="18"/>
        <v>0.84571850485140276</v>
      </c>
      <c r="T39" s="69">
        <f t="shared" si="19"/>
        <v>0.84571850485140276</v>
      </c>
      <c r="U39" s="76">
        <f t="shared" si="34"/>
        <v>421.16666666666674</v>
      </c>
      <c r="V39" s="76">
        <f t="shared" si="25"/>
        <v>356.18844362658263</v>
      </c>
      <c r="W39" s="77">
        <f t="shared" si="26"/>
        <v>356.18844362658263</v>
      </c>
      <c r="Y39" s="3">
        <f t="shared" si="20"/>
        <v>1024.9997184000003</v>
      </c>
      <c r="Z39" s="3">
        <f t="shared" si="21"/>
        <v>866.86122931835723</v>
      </c>
      <c r="AC39" s="78">
        <v>-2</v>
      </c>
      <c r="AD39" s="79">
        <v>0.18490000000000001</v>
      </c>
      <c r="AE39" s="7">
        <f t="shared" si="27"/>
        <v>0.18490000000000001</v>
      </c>
      <c r="AF39" s="7">
        <v>0.2878</v>
      </c>
      <c r="AG39" s="80">
        <v>0.39910000000000001</v>
      </c>
      <c r="AH39" s="366">
        <v>0.18424657534246575</v>
      </c>
      <c r="AI39" s="366">
        <v>0.19337899543378995</v>
      </c>
      <c r="AJ39" s="366">
        <v>0.27728310502283104</v>
      </c>
      <c r="AK39" s="366">
        <v>0.37648401826484018</v>
      </c>
    </row>
    <row r="40" spans="2:37" x14ac:dyDescent="0.25">
      <c r="F40" s="62">
        <v>2</v>
      </c>
      <c r="G40" s="75">
        <f>IF($C$14=1,INDEX(AD43:AG43,1,'LTO HS-laskenta'!$C$13),INDEX(AH43:AK43,1,'LTO HS-laskenta'!$C$13))</f>
        <v>0.36917808219178083</v>
      </c>
      <c r="H40" s="62">
        <f t="shared" si="28"/>
        <v>21</v>
      </c>
      <c r="I40" s="64">
        <f t="shared" si="31"/>
        <v>4.7770669126747496</v>
      </c>
      <c r="J40" s="65">
        <f t="shared" si="11"/>
        <v>4.7770669126747496</v>
      </c>
      <c r="K40" s="65">
        <f t="shared" si="29"/>
        <v>4.7770669126747496</v>
      </c>
      <c r="L40" s="65">
        <f t="shared" si="30"/>
        <v>4.7770669126747496</v>
      </c>
      <c r="M40" s="52">
        <f t="shared" si="14"/>
        <v>20</v>
      </c>
      <c r="N40" s="65">
        <f t="shared" si="22"/>
        <v>17.222933087325252</v>
      </c>
      <c r="O40" s="66">
        <f t="shared" si="35"/>
        <v>17.222933087325252</v>
      </c>
      <c r="P40" s="7">
        <f t="shared" si="16"/>
        <v>1</v>
      </c>
      <c r="Q40" s="67">
        <f>MIN(R40/P40,(H40-F40)/(M40-F40))</f>
        <v>0.84571850485140276</v>
      </c>
      <c r="R40" s="68">
        <f t="shared" si="33"/>
        <v>0.84571850485140276</v>
      </c>
      <c r="S40" s="67">
        <f t="shared" si="18"/>
        <v>0.84571850485140276</v>
      </c>
      <c r="T40" s="69">
        <f t="shared" si="19"/>
        <v>0.84571850485140276</v>
      </c>
      <c r="U40" s="76">
        <f t="shared" si="34"/>
        <v>389.25</v>
      </c>
      <c r="V40" s="76">
        <f t="shared" si="25"/>
        <v>329.19592801340855</v>
      </c>
      <c r="W40" s="77">
        <f t="shared" si="26"/>
        <v>329.19592801340849</v>
      </c>
      <c r="Y40" s="3">
        <f t="shared" si="20"/>
        <v>947.32364159999986</v>
      </c>
      <c r="Z40" s="3">
        <f t="shared" si="21"/>
        <v>801.1691337843381</v>
      </c>
      <c r="AC40" s="78">
        <v>-1</v>
      </c>
      <c r="AD40" s="79">
        <v>0.21190000000000001</v>
      </c>
      <c r="AE40" s="7">
        <f t="shared" si="27"/>
        <v>0.21190000000000001</v>
      </c>
      <c r="AF40" s="7">
        <v>0.33</v>
      </c>
      <c r="AG40" s="80">
        <v>0.43919999999999998</v>
      </c>
      <c r="AH40" s="366">
        <v>0.20924657534246574</v>
      </c>
      <c r="AI40" s="366">
        <v>0.22340182648401827</v>
      </c>
      <c r="AJ40" s="366">
        <v>0.31210045662100455</v>
      </c>
      <c r="AK40" s="366">
        <v>0.41678082191780824</v>
      </c>
    </row>
    <row r="41" spans="2:37" x14ac:dyDescent="0.25">
      <c r="F41" s="62">
        <v>3</v>
      </c>
      <c r="G41" s="75">
        <f>IF($C$14=1,INDEX(AD44:AG44,1,'LTO HS-laskenta'!$C$13),INDEX(AH44:AK44,1,'LTO HS-laskenta'!$C$13))</f>
        <v>0.41598173515981735</v>
      </c>
      <c r="H41" s="62">
        <f t="shared" si="28"/>
        <v>21</v>
      </c>
      <c r="I41" s="64">
        <f t="shared" si="31"/>
        <v>5.6227854175261527</v>
      </c>
      <c r="J41" s="65">
        <f t="shared" si="11"/>
        <v>5.6227854175261527</v>
      </c>
      <c r="K41" s="65">
        <f t="shared" si="29"/>
        <v>5.6227854175261527</v>
      </c>
      <c r="L41" s="65">
        <f t="shared" si="30"/>
        <v>5.6227854175261527</v>
      </c>
      <c r="M41" s="52">
        <f t="shared" si="14"/>
        <v>20</v>
      </c>
      <c r="N41" s="65">
        <f t="shared" si="22"/>
        <v>17.377214582473847</v>
      </c>
      <c r="O41" s="66">
        <f t="shared" si="35"/>
        <v>17.377214582473847</v>
      </c>
      <c r="P41" s="7">
        <f t="shared" si="16"/>
        <v>1</v>
      </c>
      <c r="Q41" s="67">
        <f t="shared" si="32"/>
        <v>0.84571850485140276</v>
      </c>
      <c r="R41" s="68">
        <f t="shared" si="33"/>
        <v>0.84571850485140276</v>
      </c>
      <c r="S41" s="67">
        <f t="shared" si="18"/>
        <v>0.84571850485140276</v>
      </c>
      <c r="T41" s="69">
        <f t="shared" si="19"/>
        <v>0.84571850485140276</v>
      </c>
      <c r="U41" s="76">
        <f t="shared" si="34"/>
        <v>290.41666666666657</v>
      </c>
      <c r="V41" s="76">
        <f t="shared" si="25"/>
        <v>245.61074911726146</v>
      </c>
      <c r="W41" s="77">
        <f t="shared" si="26"/>
        <v>245.61074911726146</v>
      </c>
      <c r="Y41" s="3">
        <f t="shared" si="20"/>
        <v>706.79145599999981</v>
      </c>
      <c r="Z41" s="3">
        <f t="shared" si="21"/>
        <v>597.74661341006583</v>
      </c>
      <c r="AC41" s="78">
        <v>0</v>
      </c>
      <c r="AD41" s="79">
        <v>0.24629999999999999</v>
      </c>
      <c r="AE41" s="7">
        <f t="shared" si="27"/>
        <v>0.24629999999999999</v>
      </c>
      <c r="AF41" s="7">
        <v>0.36909999999999998</v>
      </c>
      <c r="AG41" s="80">
        <v>0.4758</v>
      </c>
      <c r="AH41" s="366">
        <v>0.24920091324200913</v>
      </c>
      <c r="AI41" s="366">
        <v>0.27089041095890409</v>
      </c>
      <c r="AJ41" s="366">
        <v>0.36792237442922376</v>
      </c>
      <c r="AK41" s="366">
        <v>0.46027397260273972</v>
      </c>
    </row>
    <row r="42" spans="2:37" x14ac:dyDescent="0.25">
      <c r="F42" s="62">
        <v>4</v>
      </c>
      <c r="G42" s="75">
        <f>IF($C$14=1,INDEX(AD45:AG45,1,'LTO HS-laskenta'!$C$13),INDEX(AH45:AK45,1,'LTO HS-laskenta'!$C$13))</f>
        <v>0.45079908675799085</v>
      </c>
      <c r="H42" s="62">
        <f t="shared" si="28"/>
        <v>21</v>
      </c>
      <c r="I42" s="64">
        <f t="shared" si="31"/>
        <v>6.4685039223775558</v>
      </c>
      <c r="J42" s="65">
        <f t="shared" si="11"/>
        <v>6.4685039223775558</v>
      </c>
      <c r="K42" s="65">
        <f t="shared" si="29"/>
        <v>6.4685039223775558</v>
      </c>
      <c r="L42" s="65">
        <f t="shared" si="30"/>
        <v>6.4685039223775558</v>
      </c>
      <c r="M42" s="52">
        <f t="shared" si="14"/>
        <v>20</v>
      </c>
      <c r="N42" s="65">
        <f t="shared" si="22"/>
        <v>17.531496077622442</v>
      </c>
      <c r="O42" s="66">
        <f t="shared" si="35"/>
        <v>17.531496077622442</v>
      </c>
      <c r="P42" s="7">
        <f t="shared" si="16"/>
        <v>1</v>
      </c>
      <c r="Q42" s="67">
        <f t="shared" si="32"/>
        <v>0.84571850485140276</v>
      </c>
      <c r="R42" s="68">
        <f t="shared" si="33"/>
        <v>0.84571850485140276</v>
      </c>
      <c r="S42" s="67">
        <f t="shared" si="18"/>
        <v>0.84571850485140276</v>
      </c>
      <c r="T42" s="69">
        <f t="shared" si="19"/>
        <v>0.84571850485140276</v>
      </c>
      <c r="U42" s="76">
        <f t="shared" si="34"/>
        <v>203.33333333333329</v>
      </c>
      <c r="V42" s="76">
        <f t="shared" si="25"/>
        <v>171.96276265311852</v>
      </c>
      <c r="W42" s="77">
        <f t="shared" si="26"/>
        <v>171.96276265311852</v>
      </c>
      <c r="Y42" s="3">
        <f t="shared" si="20"/>
        <v>494.8554239999998</v>
      </c>
      <c r="Z42" s="3">
        <f t="shared" si="21"/>
        <v>418.50838930288694</v>
      </c>
      <c r="AC42" s="78">
        <v>1</v>
      </c>
      <c r="AD42" s="79">
        <v>0.30549999999999999</v>
      </c>
      <c r="AE42" s="7">
        <f t="shared" si="27"/>
        <v>0.30549999999999999</v>
      </c>
      <c r="AF42" s="7">
        <v>0.42270000000000002</v>
      </c>
      <c r="AG42" s="80">
        <v>0.51970000000000005</v>
      </c>
      <c r="AH42" s="366">
        <v>0.30993150684931509</v>
      </c>
      <c r="AI42" s="366">
        <v>0.3422374429223744</v>
      </c>
      <c r="AJ42" s="366">
        <v>0.41004566210045662</v>
      </c>
      <c r="AK42" s="366">
        <v>0.51118721461187211</v>
      </c>
    </row>
    <row r="43" spans="2:37" x14ac:dyDescent="0.25">
      <c r="F43" s="62">
        <v>5</v>
      </c>
      <c r="G43" s="75">
        <f>IF($C$14=1,INDEX(AD46:AG46,1,'LTO HS-laskenta'!$C$13),INDEX(AH46:AK46,1,'LTO HS-laskenta'!$C$13))</f>
        <v>0.48413242009132418</v>
      </c>
      <c r="H43" s="62">
        <f t="shared" si="28"/>
        <v>21</v>
      </c>
      <c r="I43" s="64">
        <f t="shared" si="31"/>
        <v>7.3142224272289589</v>
      </c>
      <c r="J43" s="65">
        <f t="shared" si="11"/>
        <v>7.3142224272289589</v>
      </c>
      <c r="K43" s="65">
        <f t="shared" si="29"/>
        <v>7.3142224272289589</v>
      </c>
      <c r="L43" s="65">
        <f t="shared" si="30"/>
        <v>7.3142224272289589</v>
      </c>
      <c r="M43" s="52">
        <f t="shared" si="14"/>
        <v>20</v>
      </c>
      <c r="N43" s="65">
        <f t="shared" si="22"/>
        <v>17.685777572771041</v>
      </c>
      <c r="O43" s="66">
        <f t="shared" si="35"/>
        <v>17.685777572771041</v>
      </c>
      <c r="P43" s="7">
        <f t="shared" si="16"/>
        <v>1</v>
      </c>
      <c r="Q43" s="67">
        <f t="shared" si="32"/>
        <v>0.84571850485140276</v>
      </c>
      <c r="R43" s="68">
        <f t="shared" si="33"/>
        <v>0.84571850485140276</v>
      </c>
      <c r="S43" s="67">
        <f t="shared" si="18"/>
        <v>0.84571850485140276</v>
      </c>
      <c r="T43" s="69">
        <f t="shared" si="19"/>
        <v>0.84571850485140276</v>
      </c>
      <c r="U43" s="76">
        <f t="shared" si="34"/>
        <v>182.49999999999997</v>
      </c>
      <c r="V43" s="76">
        <f t="shared" si="25"/>
        <v>154.34362713538096</v>
      </c>
      <c r="W43" s="77">
        <f t="shared" si="26"/>
        <v>154.34362713538096</v>
      </c>
      <c r="Y43" s="3">
        <f t="shared" si="20"/>
        <v>444.15302399999985</v>
      </c>
      <c r="Z43" s="3">
        <f t="shared" si="21"/>
        <v>375.62843138250912</v>
      </c>
      <c r="AC43" s="78">
        <v>2</v>
      </c>
      <c r="AD43" s="79">
        <v>0.3619</v>
      </c>
      <c r="AE43" s="7">
        <f t="shared" si="27"/>
        <v>0.3619</v>
      </c>
      <c r="AF43" s="7">
        <v>0.46350000000000002</v>
      </c>
      <c r="AG43" s="80">
        <v>0.5494</v>
      </c>
      <c r="AH43" s="366">
        <v>0.36917808219178083</v>
      </c>
      <c r="AI43" s="366">
        <v>0.40136986301369865</v>
      </c>
      <c r="AJ43" s="366">
        <v>0.45171232876712331</v>
      </c>
      <c r="AK43" s="366">
        <v>0.54372146118721465</v>
      </c>
    </row>
    <row r="44" spans="2:37" x14ac:dyDescent="0.25">
      <c r="F44" s="62">
        <v>6</v>
      </c>
      <c r="G44" s="75">
        <f>IF($C$14=1,INDEX(AD47:AG47,1,'LTO HS-laskenta'!$C$13),INDEX(AH47:AK47,1,'LTO HS-laskenta'!$C$13))</f>
        <v>0.51586757990867582</v>
      </c>
      <c r="H44" s="62">
        <f t="shared" si="28"/>
        <v>21</v>
      </c>
      <c r="I44" s="64">
        <f t="shared" si="31"/>
        <v>8.159940932080362</v>
      </c>
      <c r="J44" s="65">
        <f t="shared" si="11"/>
        <v>8.159940932080362</v>
      </c>
      <c r="K44" s="65">
        <f t="shared" si="29"/>
        <v>8.159940932080362</v>
      </c>
      <c r="L44" s="65">
        <f t="shared" si="30"/>
        <v>8.159940932080362</v>
      </c>
      <c r="M44" s="52">
        <f t="shared" si="14"/>
        <v>20</v>
      </c>
      <c r="N44" s="65">
        <f t="shared" si="22"/>
        <v>17.84005906791964</v>
      </c>
      <c r="O44" s="66">
        <f t="shared" si="35"/>
        <v>17.84005906791964</v>
      </c>
      <c r="P44" s="7">
        <f t="shared" si="16"/>
        <v>1</v>
      </c>
      <c r="Q44" s="67">
        <f t="shared" si="32"/>
        <v>0.84571850485140276</v>
      </c>
      <c r="R44" s="68">
        <f t="shared" si="33"/>
        <v>0.84571850485140276</v>
      </c>
      <c r="S44" s="67">
        <f t="shared" si="18"/>
        <v>0.84571850485140276</v>
      </c>
      <c r="T44" s="69">
        <f t="shared" si="19"/>
        <v>0.84571850485140276</v>
      </c>
      <c r="U44" s="76">
        <f t="shared" si="34"/>
        <v>162.16666666666691</v>
      </c>
      <c r="V44" s="76">
        <f t="shared" si="25"/>
        <v>137.14735087006937</v>
      </c>
      <c r="W44" s="77">
        <f t="shared" si="26"/>
        <v>137.14735087006935</v>
      </c>
      <c r="Y44" s="3">
        <f t="shared" si="20"/>
        <v>394.66748160000054</v>
      </c>
      <c r="Z44" s="3">
        <f t="shared" si="21"/>
        <v>333.77759245222097</v>
      </c>
      <c r="AC44" s="78">
        <v>3</v>
      </c>
      <c r="AD44" s="79">
        <v>0.41439999999999999</v>
      </c>
      <c r="AE44" s="7">
        <f t="shared" si="27"/>
        <v>0.41439999999999999</v>
      </c>
      <c r="AF44" s="7">
        <v>0.49509999999999998</v>
      </c>
      <c r="AG44" s="80">
        <v>0.58360000000000001</v>
      </c>
      <c r="AH44" s="366">
        <v>0.41598173515981735</v>
      </c>
      <c r="AI44" s="366">
        <v>0.44018264840182647</v>
      </c>
      <c r="AJ44" s="366">
        <v>0.48652968036529681</v>
      </c>
      <c r="AK44" s="366">
        <v>0.57363013698630139</v>
      </c>
    </row>
    <row r="45" spans="2:37" x14ac:dyDescent="0.25">
      <c r="F45" s="62">
        <v>7</v>
      </c>
      <c r="G45" s="75">
        <f>IF($C$14=1,INDEX(AD48:AG48,1,'LTO HS-laskenta'!$C$13),INDEX(AH48:AK48,1,'LTO HS-laskenta'!$C$13))</f>
        <v>0.55331050228310508</v>
      </c>
      <c r="H45" s="62">
        <f t="shared" si="28"/>
        <v>21</v>
      </c>
      <c r="I45" s="64">
        <f t="shared" si="31"/>
        <v>9.0056594369317633</v>
      </c>
      <c r="J45" s="65">
        <f t="shared" si="11"/>
        <v>9.0056594369317633</v>
      </c>
      <c r="K45" s="65">
        <f t="shared" si="29"/>
        <v>9.0056594369317633</v>
      </c>
      <c r="L45" s="65">
        <f t="shared" si="30"/>
        <v>9.0056594369317633</v>
      </c>
      <c r="M45" s="52">
        <f t="shared" si="14"/>
        <v>20</v>
      </c>
      <c r="N45" s="65">
        <f t="shared" si="22"/>
        <v>17.994340563068235</v>
      </c>
      <c r="O45" s="66">
        <f t="shared" si="35"/>
        <v>17.994340563068235</v>
      </c>
      <c r="P45" s="7">
        <f t="shared" si="16"/>
        <v>1</v>
      </c>
      <c r="Q45" s="67">
        <f t="shared" si="32"/>
        <v>0.84571850485140287</v>
      </c>
      <c r="R45" s="68">
        <f t="shared" si="33"/>
        <v>0.84571850485140287</v>
      </c>
      <c r="S45" s="67">
        <f t="shared" si="18"/>
        <v>0.84571850485140276</v>
      </c>
      <c r="T45" s="69">
        <f t="shared" si="19"/>
        <v>0.84571850485140276</v>
      </c>
      <c r="U45" s="76">
        <f t="shared" si="34"/>
        <v>177.66666666666683</v>
      </c>
      <c r="V45" s="76">
        <f t="shared" si="25"/>
        <v>150.25598769526599</v>
      </c>
      <c r="W45" s="77">
        <f t="shared" si="26"/>
        <v>150.25598769526604</v>
      </c>
      <c r="Y45" s="3">
        <f t="shared" si="20"/>
        <v>432.39006720000026</v>
      </c>
      <c r="Z45" s="3">
        <f t="shared" si="21"/>
        <v>365.68028114498185</v>
      </c>
      <c r="AC45" s="78">
        <v>4</v>
      </c>
      <c r="AD45" s="79">
        <v>0.45479999999999998</v>
      </c>
      <c r="AE45" s="7">
        <f t="shared" si="27"/>
        <v>0.45479999999999998</v>
      </c>
      <c r="AF45" s="7">
        <v>0.5292</v>
      </c>
      <c r="AG45" s="80">
        <v>0.6139</v>
      </c>
      <c r="AH45" s="366">
        <v>0.45079908675799085</v>
      </c>
      <c r="AI45" s="366">
        <v>0.4771689497716895</v>
      </c>
      <c r="AJ45" s="366">
        <v>0.51837899543378996</v>
      </c>
      <c r="AK45" s="366">
        <v>0.61015981735159819</v>
      </c>
    </row>
    <row r="46" spans="2:37" x14ac:dyDescent="0.25">
      <c r="F46" s="62">
        <v>8</v>
      </c>
      <c r="G46" s="75">
        <f>IF($C$14=1,INDEX(AD49:AG49,1,'LTO HS-laskenta'!$C$13),INDEX(AH49:AK49,1,'LTO HS-laskenta'!$C$13))</f>
        <v>0.58984018264840188</v>
      </c>
      <c r="H46" s="62">
        <f t="shared" si="28"/>
        <v>21</v>
      </c>
      <c r="I46" s="64">
        <f t="shared" si="31"/>
        <v>9.8513779417831664</v>
      </c>
      <c r="J46" s="65">
        <f t="shared" si="11"/>
        <v>9.8513779417831664</v>
      </c>
      <c r="K46" s="65">
        <f t="shared" si="29"/>
        <v>9.8513779417831664</v>
      </c>
      <c r="L46" s="65">
        <f t="shared" si="30"/>
        <v>9.8513779417831664</v>
      </c>
      <c r="M46" s="52">
        <f t="shared" si="14"/>
        <v>20</v>
      </c>
      <c r="N46" s="65">
        <f t="shared" si="22"/>
        <v>18.148622058216834</v>
      </c>
      <c r="O46" s="66">
        <f t="shared" si="35"/>
        <v>18.148622058216834</v>
      </c>
      <c r="P46" s="7">
        <f t="shared" si="16"/>
        <v>1</v>
      </c>
      <c r="Q46" s="67">
        <f t="shared" si="32"/>
        <v>0.84571850485140276</v>
      </c>
      <c r="R46" s="68">
        <f t="shared" si="33"/>
        <v>0.84571850485140276</v>
      </c>
      <c r="S46" s="67">
        <f t="shared" si="18"/>
        <v>0.84571850485140276</v>
      </c>
      <c r="T46" s="69">
        <f t="shared" si="19"/>
        <v>0.84571850485140276</v>
      </c>
      <c r="U46" s="76">
        <f t="shared" si="34"/>
        <v>160</v>
      </c>
      <c r="V46" s="76">
        <f t="shared" si="25"/>
        <v>135.31496077622444</v>
      </c>
      <c r="W46" s="77">
        <f t="shared" si="26"/>
        <v>135.31496077622444</v>
      </c>
      <c r="Y46" s="3">
        <f t="shared" si="20"/>
        <v>389.39443199999994</v>
      </c>
      <c r="Z46" s="3">
        <f t="shared" si="21"/>
        <v>329.31807682850121</v>
      </c>
      <c r="AC46" s="78">
        <v>5</v>
      </c>
      <c r="AD46" s="79">
        <v>0.48680000000000001</v>
      </c>
      <c r="AE46" s="7">
        <f t="shared" si="27"/>
        <v>0.48680000000000001</v>
      </c>
      <c r="AF46" s="7">
        <v>0.5575</v>
      </c>
      <c r="AG46" s="80">
        <v>0.64410000000000001</v>
      </c>
      <c r="AH46" s="366">
        <v>0.48413242009132418</v>
      </c>
      <c r="AI46" s="366">
        <v>0.50776255707762552</v>
      </c>
      <c r="AJ46" s="366">
        <v>0.54885844748858448</v>
      </c>
      <c r="AK46" s="366">
        <v>0.63641552511415522</v>
      </c>
    </row>
    <row r="47" spans="2:37" x14ac:dyDescent="0.25">
      <c r="F47" s="62">
        <v>9</v>
      </c>
      <c r="G47" s="75">
        <f>IF($C$14=1,INDEX(AD50:AG50,1,'LTO HS-laskenta'!$C$13),INDEX(AH50:AK50,1,'LTO HS-laskenta'!$C$13))</f>
        <v>0.61746575342465748</v>
      </c>
      <c r="H47" s="62">
        <f t="shared" si="28"/>
        <v>21</v>
      </c>
      <c r="I47" s="64">
        <f t="shared" si="31"/>
        <v>10.697096446634569</v>
      </c>
      <c r="J47" s="65">
        <f t="shared" si="11"/>
        <v>10.697096446634569</v>
      </c>
      <c r="K47" s="65">
        <f t="shared" si="29"/>
        <v>10.697096446634569</v>
      </c>
      <c r="L47" s="65">
        <f t="shared" si="30"/>
        <v>10.697096446634569</v>
      </c>
      <c r="M47" s="52">
        <f t="shared" si="14"/>
        <v>20</v>
      </c>
      <c r="N47" s="65">
        <f t="shared" si="22"/>
        <v>18.302903553365432</v>
      </c>
      <c r="O47" s="66">
        <f t="shared" si="35"/>
        <v>18.302903553365432</v>
      </c>
      <c r="P47" s="7">
        <f t="shared" si="16"/>
        <v>1</v>
      </c>
      <c r="Q47" s="67">
        <f t="shared" si="32"/>
        <v>0.84571850485140276</v>
      </c>
      <c r="R47" s="68">
        <f t="shared" si="33"/>
        <v>0.84571850485140276</v>
      </c>
      <c r="S47" s="67">
        <f t="shared" si="18"/>
        <v>0.84571850485140276</v>
      </c>
      <c r="T47" s="69">
        <f t="shared" si="19"/>
        <v>0.84571850485140276</v>
      </c>
      <c r="U47" s="76">
        <f t="shared" si="34"/>
        <v>110.91666666666625</v>
      </c>
      <c r="V47" s="76">
        <f t="shared" si="25"/>
        <v>93.804277496434423</v>
      </c>
      <c r="W47" s="77">
        <f t="shared" si="26"/>
        <v>93.804277496434395</v>
      </c>
      <c r="Y47" s="3">
        <f t="shared" si="20"/>
        <v>269.93957759999904</v>
      </c>
      <c r="Z47" s="3">
        <f t="shared" si="21"/>
        <v>228.29289596809039</v>
      </c>
      <c r="AC47" s="78">
        <v>6</v>
      </c>
      <c r="AD47" s="79">
        <v>0.5212</v>
      </c>
      <c r="AE47" s="7">
        <f t="shared" si="27"/>
        <v>0.5212</v>
      </c>
      <c r="AF47" s="7">
        <v>0.59570000000000001</v>
      </c>
      <c r="AG47" s="80">
        <v>0.66739999999999999</v>
      </c>
      <c r="AH47" s="366">
        <v>0.51586757990867582</v>
      </c>
      <c r="AI47" s="366">
        <v>0.54166666666666663</v>
      </c>
      <c r="AJ47" s="366">
        <v>0.58139269406392691</v>
      </c>
      <c r="AK47" s="366">
        <v>0.66415525114155249</v>
      </c>
    </row>
    <row r="48" spans="2:37" x14ac:dyDescent="0.25">
      <c r="D48" s="96"/>
      <c r="F48" s="62">
        <v>10</v>
      </c>
      <c r="G48" s="75">
        <f>IF($C$14=1,INDEX(AD51:AG51,1,'LTO HS-laskenta'!$C$13),INDEX(AH51:AK51,1,'LTO HS-laskenta'!$C$13))</f>
        <v>0.64394977168949774</v>
      </c>
      <c r="H48" s="62">
        <f t="shared" si="28"/>
        <v>21</v>
      </c>
      <c r="I48" s="64">
        <f t="shared" si="31"/>
        <v>11.542814951485973</v>
      </c>
      <c r="J48" s="65">
        <f t="shared" si="11"/>
        <v>11.542814951485973</v>
      </c>
      <c r="K48" s="65">
        <f t="shared" si="29"/>
        <v>11.542814951485973</v>
      </c>
      <c r="L48" s="65">
        <f t="shared" si="30"/>
        <v>11.542814951485973</v>
      </c>
      <c r="M48" s="52">
        <f t="shared" si="14"/>
        <v>20</v>
      </c>
      <c r="N48" s="65">
        <f t="shared" si="22"/>
        <v>18.457185048514027</v>
      </c>
      <c r="O48" s="66">
        <f t="shared" si="35"/>
        <v>18.457185048514027</v>
      </c>
      <c r="P48" s="7">
        <f t="shared" si="16"/>
        <v>1</v>
      </c>
      <c r="Q48" s="67">
        <f t="shared" si="32"/>
        <v>0.84571850485140276</v>
      </c>
      <c r="R48" s="68">
        <f t="shared" si="33"/>
        <v>0.84571850485140276</v>
      </c>
      <c r="S48" s="67">
        <f t="shared" si="18"/>
        <v>0.84571850485140276</v>
      </c>
      <c r="T48" s="69">
        <f t="shared" si="19"/>
        <v>0.84571850485140276</v>
      </c>
      <c r="U48" s="76">
        <f t="shared" si="34"/>
        <v>96.666666666666941</v>
      </c>
      <c r="V48" s="76">
        <f t="shared" si="25"/>
        <v>81.752788802302504</v>
      </c>
      <c r="W48" s="77">
        <f t="shared" si="26"/>
        <v>81.752788802302504</v>
      </c>
      <c r="Y48" s="3">
        <f t="shared" si="20"/>
        <v>235.25913600000069</v>
      </c>
      <c r="Z48" s="3">
        <f t="shared" si="21"/>
        <v>198.96300475055344</v>
      </c>
      <c r="AC48" s="78">
        <v>7</v>
      </c>
      <c r="AD48" s="79">
        <v>0.55300000000000005</v>
      </c>
      <c r="AE48" s="7">
        <f t="shared" si="27"/>
        <v>0.55300000000000005</v>
      </c>
      <c r="AF48" s="7">
        <v>0.62970000000000004</v>
      </c>
      <c r="AG48" s="80">
        <v>0.69599999999999995</v>
      </c>
      <c r="AH48" s="366">
        <v>0.55331050228310508</v>
      </c>
      <c r="AI48" s="366">
        <v>0.58744292237442919</v>
      </c>
      <c r="AJ48" s="366">
        <v>0.60719178082191783</v>
      </c>
      <c r="AK48" s="366">
        <v>0.6905251141552512</v>
      </c>
    </row>
    <row r="49" spans="6:37" x14ac:dyDescent="0.25">
      <c r="F49" s="62">
        <v>11</v>
      </c>
      <c r="G49" s="75">
        <f>IF($C$14=1,INDEX(AD52:AG52,1,'LTO HS-laskenta'!$C$13),INDEX(AH52:AK52,1,'LTO HS-laskenta'!$C$13))</f>
        <v>0.67625570776255706</v>
      </c>
      <c r="H49" s="62">
        <f t="shared" si="28"/>
        <v>21</v>
      </c>
      <c r="I49" s="64">
        <f t="shared" si="31"/>
        <v>12.388533456337374</v>
      </c>
      <c r="J49" s="65">
        <f t="shared" si="11"/>
        <v>12.388533456337374</v>
      </c>
      <c r="K49" s="65">
        <f t="shared" si="29"/>
        <v>12.388533456337374</v>
      </c>
      <c r="L49" s="65">
        <f t="shared" si="30"/>
        <v>12.388533456337374</v>
      </c>
      <c r="M49" s="52">
        <f t="shared" si="14"/>
        <v>20</v>
      </c>
      <c r="N49" s="65">
        <f t="shared" si="22"/>
        <v>18.611466543662626</v>
      </c>
      <c r="O49" s="66">
        <f t="shared" si="35"/>
        <v>18.611466543662626</v>
      </c>
      <c r="P49" s="7">
        <f t="shared" si="16"/>
        <v>1</v>
      </c>
      <c r="Q49" s="67">
        <f t="shared" si="32"/>
        <v>0.84571850485140287</v>
      </c>
      <c r="R49" s="68">
        <f t="shared" si="33"/>
        <v>0.84571850485140287</v>
      </c>
      <c r="S49" s="67">
        <f t="shared" si="18"/>
        <v>0.84571850485140276</v>
      </c>
      <c r="T49" s="69">
        <f t="shared" si="19"/>
        <v>0.84571850485140276</v>
      </c>
      <c r="U49" s="76">
        <f t="shared" si="34"/>
        <v>106.12499999999986</v>
      </c>
      <c r="V49" s="76">
        <f t="shared" si="25"/>
        <v>89.751876327355006</v>
      </c>
      <c r="W49" s="77">
        <f t="shared" si="26"/>
        <v>89.751876327355006</v>
      </c>
      <c r="Y49" s="3">
        <f t="shared" si="20"/>
        <v>258.27802559999964</v>
      </c>
      <c r="Z49" s="3">
        <f t="shared" si="21"/>
        <v>218.43050564640407</v>
      </c>
      <c r="AC49" s="78">
        <v>8</v>
      </c>
      <c r="AD49" s="79">
        <v>0.58720000000000006</v>
      </c>
      <c r="AE49" s="7">
        <f t="shared" si="27"/>
        <v>0.58720000000000006</v>
      </c>
      <c r="AF49" s="7">
        <v>0.65959999999999996</v>
      </c>
      <c r="AG49" s="80">
        <v>0.72499999999999998</v>
      </c>
      <c r="AH49" s="366">
        <v>0.58984018264840188</v>
      </c>
      <c r="AI49" s="366">
        <v>0.62123287671232874</v>
      </c>
      <c r="AJ49" s="366">
        <v>0.63162100456621006</v>
      </c>
      <c r="AK49" s="366">
        <v>0.71872146118721458</v>
      </c>
    </row>
    <row r="50" spans="6:37" x14ac:dyDescent="0.25">
      <c r="F50" s="97">
        <v>12</v>
      </c>
      <c r="G50" s="98">
        <f>IF($C$14=1,INDEX(AD53:AG53,1,'LTO HS-laskenta'!$C$13),INDEX(AH53:AK53,1,'LTO HS-laskenta'!$C$13))</f>
        <v>0.71415525114155254</v>
      </c>
      <c r="H50" s="97">
        <f t="shared" si="28"/>
        <v>21</v>
      </c>
      <c r="I50" s="99">
        <f t="shared" si="31"/>
        <v>13.234251961188779</v>
      </c>
      <c r="J50" s="100">
        <f t="shared" si="11"/>
        <v>13.234251961188779</v>
      </c>
      <c r="K50" s="100">
        <f t="shared" si="29"/>
        <v>13.234251961188779</v>
      </c>
      <c r="L50" s="100">
        <f t="shared" si="30"/>
        <v>13.234251961188779</v>
      </c>
      <c r="M50" s="101">
        <f t="shared" si="14"/>
        <v>20</v>
      </c>
      <c r="N50" s="100">
        <f t="shared" si="22"/>
        <v>18.765748038811221</v>
      </c>
      <c r="O50" s="102">
        <f t="shared" si="35"/>
        <v>18.765748038811221</v>
      </c>
      <c r="P50" s="103">
        <f t="shared" si="16"/>
        <v>1</v>
      </c>
      <c r="Q50" s="104">
        <f t="shared" si="32"/>
        <v>0.84571850485140265</v>
      </c>
      <c r="R50" s="105">
        <f>(M50-J50)/(M50-F50)</f>
        <v>0.84571850485140265</v>
      </c>
      <c r="S50" s="104">
        <f t="shared" si="18"/>
        <v>0.84571850485140276</v>
      </c>
      <c r="T50" s="106">
        <f t="shared" si="19"/>
        <v>0.84571850485140276</v>
      </c>
      <c r="U50" s="107">
        <f t="shared" si="34"/>
        <v>110.6666666666668</v>
      </c>
      <c r="V50" s="107">
        <f t="shared" si="25"/>
        <v>93.592847870222016</v>
      </c>
      <c r="W50" s="108">
        <f t="shared" si="26"/>
        <v>93.592847870222016</v>
      </c>
      <c r="Y50" s="3">
        <f>$C$7/1000*1.2*1006*(M50-F50)*8760*(G50-G49)/1000</f>
        <v>269.33114880000034</v>
      </c>
      <c r="Z50" s="3">
        <f>1.2*1006*$C$7/1000*(M50-I50)/1000*(G50-G49)*8760</f>
        <v>227.77833647304698</v>
      </c>
      <c r="AC50" s="78">
        <v>9</v>
      </c>
      <c r="AD50" s="79">
        <v>0.61919999999999997</v>
      </c>
      <c r="AE50" s="7">
        <f t="shared" si="27"/>
        <v>0.61919999999999997</v>
      </c>
      <c r="AF50" s="7">
        <v>0.68889999999999996</v>
      </c>
      <c r="AG50" s="80">
        <v>0.751</v>
      </c>
      <c r="AH50" s="366">
        <v>0.61746575342465748</v>
      </c>
      <c r="AI50" s="366">
        <v>0.65399543378995428</v>
      </c>
      <c r="AJ50" s="366">
        <v>0.6623287671232877</v>
      </c>
      <c r="AK50" s="366">
        <v>0.74885844748858443</v>
      </c>
    </row>
    <row r="51" spans="6:37" x14ac:dyDescent="0.25">
      <c r="Q51" s="109"/>
      <c r="R51" s="109"/>
      <c r="S51" s="109"/>
      <c r="Y51" s="8">
        <f>SUM(Y17:Y50)</f>
        <v>11421.019814399995</v>
      </c>
      <c r="Z51" s="8">
        <f>SUM(Z17:Z50)</f>
        <v>9513.5144666357737</v>
      </c>
      <c r="AC51" s="78">
        <v>10</v>
      </c>
      <c r="AD51" s="79">
        <v>0.65169999999999995</v>
      </c>
      <c r="AE51" s="7">
        <f t="shared" si="27"/>
        <v>0.65169999999999995</v>
      </c>
      <c r="AF51" s="7">
        <v>0.71660000000000001</v>
      </c>
      <c r="AG51" s="80">
        <v>0.77949999999999997</v>
      </c>
      <c r="AH51" s="366">
        <v>0.64394977168949774</v>
      </c>
      <c r="AI51" s="366">
        <v>0.68835616438356162</v>
      </c>
      <c r="AJ51" s="366">
        <v>0.69623287671232881</v>
      </c>
      <c r="AK51" s="366">
        <v>0.78527397260273968</v>
      </c>
    </row>
    <row r="52" spans="6:37" x14ac:dyDescent="0.25">
      <c r="Y52" s="4" t="s">
        <v>118</v>
      </c>
      <c r="AC52" s="78">
        <v>11</v>
      </c>
      <c r="AD52" s="79">
        <v>0.68479999999999996</v>
      </c>
      <c r="AE52" s="7">
        <f t="shared" si="27"/>
        <v>0.68479999999999996</v>
      </c>
      <c r="AF52" s="7">
        <v>0.75029999999999997</v>
      </c>
      <c r="AG52" s="80">
        <v>0.80569999999999997</v>
      </c>
      <c r="AH52" s="366">
        <v>0.67625570776255706</v>
      </c>
      <c r="AI52" s="366">
        <v>0.72168949771689495</v>
      </c>
      <c r="AJ52" s="366">
        <v>0.73105022831050226</v>
      </c>
      <c r="AK52" s="366">
        <v>0.82283105022831049</v>
      </c>
    </row>
    <row r="53" spans="6:37" x14ac:dyDescent="0.25">
      <c r="AC53" s="110">
        <v>12</v>
      </c>
      <c r="AD53" s="111">
        <v>0.71830000000000005</v>
      </c>
      <c r="AE53" s="103">
        <f t="shared" si="27"/>
        <v>0.71830000000000005</v>
      </c>
      <c r="AF53" s="103">
        <v>0.78110000000000002</v>
      </c>
      <c r="AG53" s="112">
        <v>0.83179999999999998</v>
      </c>
      <c r="AH53" s="366">
        <v>0.71415525114155254</v>
      </c>
      <c r="AI53" s="366">
        <v>0.75296803652968036</v>
      </c>
      <c r="AJ53" s="366">
        <v>0.76780821917808217</v>
      </c>
      <c r="AK53" s="366">
        <v>0.85114155251141554</v>
      </c>
    </row>
    <row r="54" spans="6:37" x14ac:dyDescent="0.25">
      <c r="K54" s="113"/>
      <c r="M54" s="114"/>
      <c r="Y54" s="115"/>
      <c r="Z54" s="115">
        <f>Z51/Y51</f>
        <v>0.83298292282452957</v>
      </c>
      <c r="AC54" s="78">
        <v>13</v>
      </c>
      <c r="AD54" s="79">
        <v>0.75170000000000003</v>
      </c>
      <c r="AE54" s="7">
        <f t="shared" si="27"/>
        <v>0.75170000000000003</v>
      </c>
      <c r="AF54" s="7">
        <v>0.81040000000000001</v>
      </c>
      <c r="AG54" s="80">
        <v>0.85919999999999996</v>
      </c>
      <c r="AH54" s="366">
        <v>0.75433789954337904</v>
      </c>
      <c r="AI54" s="366">
        <v>0.78493150684931512</v>
      </c>
      <c r="AJ54" s="366">
        <v>0.80593607305936077</v>
      </c>
      <c r="AK54" s="366">
        <v>0.87602739726027401</v>
      </c>
    </row>
    <row r="55" spans="6:37" x14ac:dyDescent="0.25">
      <c r="O55" s="561" t="s">
        <v>129</v>
      </c>
      <c r="P55" s="561"/>
      <c r="Q55" s="561"/>
      <c r="R55" s="561"/>
      <c r="S55" s="561"/>
      <c r="T55" s="561"/>
      <c r="U55" s="116">
        <f>C6*1.2*(C12-C20)</f>
        <v>2217.6</v>
      </c>
      <c r="V55" t="s">
        <v>3</v>
      </c>
      <c r="AC55" s="78">
        <v>14</v>
      </c>
      <c r="AD55" s="79">
        <v>0.78849999999999998</v>
      </c>
      <c r="AE55" s="7">
        <f t="shared" si="27"/>
        <v>0.78849999999999998</v>
      </c>
      <c r="AF55" s="7">
        <v>0.84099999999999997</v>
      </c>
      <c r="AG55" s="80">
        <v>0.88290000000000002</v>
      </c>
      <c r="AH55" s="366">
        <v>0.7873287671232877</v>
      </c>
      <c r="AI55" s="366">
        <v>0.81974885844748857</v>
      </c>
      <c r="AJ55" s="366">
        <v>0.84509132420091326</v>
      </c>
      <c r="AK55" s="366">
        <v>0.89577625570776254</v>
      </c>
    </row>
    <row r="56" spans="6:37" x14ac:dyDescent="0.25">
      <c r="O56" s="561" t="s">
        <v>130</v>
      </c>
      <c r="P56" s="561"/>
      <c r="Q56" s="561"/>
      <c r="R56" s="561"/>
      <c r="S56" s="561"/>
      <c r="T56" s="561"/>
      <c r="U56" s="118">
        <f>Y51</f>
        <v>11421.019814399995</v>
      </c>
      <c r="V56" t="s">
        <v>118</v>
      </c>
      <c r="AC56" s="78">
        <v>15</v>
      </c>
      <c r="AD56" s="79">
        <v>0.82240000000000002</v>
      </c>
      <c r="AE56" s="7">
        <f t="shared" si="27"/>
        <v>0.82240000000000002</v>
      </c>
      <c r="AF56" s="7">
        <v>0.86639999999999995</v>
      </c>
      <c r="AG56" s="80">
        <v>0.9042</v>
      </c>
      <c r="AH56" s="366">
        <v>0.82625570776255708</v>
      </c>
      <c r="AI56" s="366">
        <v>0.85468036529680369</v>
      </c>
      <c r="AJ56" s="366">
        <v>0.87568493150684934</v>
      </c>
      <c r="AK56" s="366">
        <v>0.91803652968036531</v>
      </c>
    </row>
    <row r="57" spans="6:37" x14ac:dyDescent="0.25">
      <c r="O57" s="561" t="s">
        <v>131</v>
      </c>
      <c r="P57" s="561"/>
      <c r="Q57" s="561"/>
      <c r="R57" s="561"/>
      <c r="S57" s="561"/>
      <c r="T57" s="561"/>
      <c r="U57" s="118">
        <f>Z51</f>
        <v>9513.5144666357737</v>
      </c>
      <c r="V57" t="s">
        <v>118</v>
      </c>
      <c r="AC57" s="78">
        <v>16</v>
      </c>
      <c r="AD57" s="79">
        <v>0.85560000000000003</v>
      </c>
      <c r="AE57" s="7">
        <f t="shared" si="27"/>
        <v>0.85560000000000003</v>
      </c>
      <c r="AF57" s="7">
        <v>0.89119999999999999</v>
      </c>
      <c r="AG57" s="80">
        <v>0.92330000000000001</v>
      </c>
      <c r="AH57" s="366">
        <v>0.86187214611872143</v>
      </c>
      <c r="AI57" s="366">
        <v>0.88059360730593605</v>
      </c>
      <c r="AJ57" s="366">
        <v>0.89908675799086757</v>
      </c>
      <c r="AK57" s="366">
        <v>0.93550228310502281</v>
      </c>
    </row>
    <row r="58" spans="6:37" x14ac:dyDescent="0.25">
      <c r="AC58" s="78">
        <v>17</v>
      </c>
      <c r="AD58" s="79">
        <v>0.89090000000000003</v>
      </c>
      <c r="AE58" s="7">
        <f t="shared" si="27"/>
        <v>0.89090000000000003</v>
      </c>
      <c r="AF58" s="7">
        <v>0.9143</v>
      </c>
      <c r="AG58" s="80">
        <v>0.93940000000000001</v>
      </c>
      <c r="AH58" s="366">
        <v>0.88995433789954337</v>
      </c>
      <c r="AI58" s="366">
        <v>0.90388127853881284</v>
      </c>
      <c r="AJ58" s="366">
        <v>0.92100456621004567</v>
      </c>
      <c r="AK58" s="366">
        <v>0.95273972602739732</v>
      </c>
    </row>
    <row r="59" spans="6:37" x14ac:dyDescent="0.25">
      <c r="AC59" s="78">
        <v>18</v>
      </c>
      <c r="AD59" s="79">
        <v>0.91479999999999995</v>
      </c>
      <c r="AE59" s="7">
        <f t="shared" si="27"/>
        <v>0.91479999999999995</v>
      </c>
      <c r="AF59" s="7">
        <v>0.93210000000000004</v>
      </c>
      <c r="AG59" s="80">
        <v>0.95209999999999995</v>
      </c>
      <c r="AH59" s="366">
        <v>0.91358447488584471</v>
      </c>
      <c r="AI59" s="366">
        <v>0.92260273972602735</v>
      </c>
      <c r="AJ59" s="366">
        <v>0.9389269406392694</v>
      </c>
      <c r="AK59" s="366">
        <v>0.9671232876712329</v>
      </c>
    </row>
    <row r="60" spans="6:37" x14ac:dyDescent="0.25">
      <c r="AC60" s="78">
        <v>19</v>
      </c>
      <c r="AD60" s="79">
        <v>0.93540000000000001</v>
      </c>
      <c r="AE60" s="7">
        <f t="shared" si="27"/>
        <v>0.93540000000000001</v>
      </c>
      <c r="AF60" s="7">
        <v>0.94650000000000001</v>
      </c>
      <c r="AG60" s="80">
        <v>0.96340000000000003</v>
      </c>
      <c r="AH60" s="366">
        <v>0.93219178082191778</v>
      </c>
      <c r="AI60" s="366">
        <v>0.93835616438356162</v>
      </c>
      <c r="AJ60" s="366">
        <v>0.95490867579908678</v>
      </c>
      <c r="AK60" s="366">
        <v>0.97602739726027399</v>
      </c>
    </row>
    <row r="61" spans="6:37" x14ac:dyDescent="0.25">
      <c r="AC61" s="78">
        <v>20</v>
      </c>
      <c r="AD61" s="79">
        <v>0.95369999999999999</v>
      </c>
      <c r="AE61" s="7">
        <f t="shared" si="27"/>
        <v>0.95369999999999999</v>
      </c>
      <c r="AF61" s="7">
        <v>0.95960000000000001</v>
      </c>
      <c r="AG61" s="80">
        <v>0.97309999999999997</v>
      </c>
      <c r="AH61" s="366">
        <v>0.94783105022831049</v>
      </c>
      <c r="AI61" s="366">
        <v>0.95490867579908678</v>
      </c>
      <c r="AJ61" s="366">
        <v>0.96700913242009134</v>
      </c>
      <c r="AK61" s="366">
        <v>0.98264840182648405</v>
      </c>
    </row>
    <row r="62" spans="6:37" x14ac:dyDescent="0.25">
      <c r="AC62" s="78">
        <v>21</v>
      </c>
      <c r="AD62" s="79">
        <v>0.96989999999999998</v>
      </c>
      <c r="AE62" s="7">
        <f t="shared" si="27"/>
        <v>0.96989999999999998</v>
      </c>
      <c r="AF62" s="7">
        <v>0.9748</v>
      </c>
      <c r="AG62" s="80">
        <v>0.98060000000000003</v>
      </c>
      <c r="AH62" s="366">
        <v>0.96324200913242009</v>
      </c>
      <c r="AI62" s="366">
        <v>0.96757990867579913</v>
      </c>
      <c r="AJ62" s="366">
        <v>0.9780821917808219</v>
      </c>
      <c r="AK62" s="366">
        <v>0.98789954337899544</v>
      </c>
    </row>
    <row r="63" spans="6:37" x14ac:dyDescent="0.25">
      <c r="AC63" s="78">
        <v>22</v>
      </c>
      <c r="AD63" s="79">
        <v>0.98109999999999997</v>
      </c>
      <c r="AE63" s="7">
        <f t="shared" si="27"/>
        <v>0.98109999999999997</v>
      </c>
      <c r="AF63" s="7">
        <v>0.98450000000000004</v>
      </c>
      <c r="AG63" s="80">
        <v>0.98699999999999999</v>
      </c>
      <c r="AH63" s="366">
        <v>0.97283105022831051</v>
      </c>
      <c r="AI63" s="366">
        <v>0.97751141552511411</v>
      </c>
      <c r="AJ63" s="366">
        <v>0.98652968036529676</v>
      </c>
      <c r="AK63" s="366">
        <v>0.9916666666666667</v>
      </c>
    </row>
    <row r="64" spans="6:37" x14ac:dyDescent="0.25">
      <c r="AC64" s="78">
        <v>23</v>
      </c>
      <c r="AD64" s="79">
        <v>0.98660000000000003</v>
      </c>
      <c r="AE64" s="7">
        <f t="shared" si="27"/>
        <v>0.98660000000000003</v>
      </c>
      <c r="AF64" s="7">
        <v>0.99060000000000004</v>
      </c>
      <c r="AG64" s="80">
        <v>0.99180000000000001</v>
      </c>
      <c r="AH64" s="366">
        <v>0.98082191780821915</v>
      </c>
      <c r="AI64" s="366">
        <v>0.9853881278538813</v>
      </c>
      <c r="AJ64" s="366">
        <v>0.99303652968036527</v>
      </c>
      <c r="AK64" s="366">
        <v>0.99497716894977173</v>
      </c>
    </row>
    <row r="65" spans="29:37" x14ac:dyDescent="0.25">
      <c r="AC65" s="78">
        <v>24</v>
      </c>
      <c r="AD65" s="79">
        <v>0.99129999999999996</v>
      </c>
      <c r="AE65" s="7">
        <f t="shared" si="27"/>
        <v>0.99129999999999996</v>
      </c>
      <c r="AF65" s="7">
        <v>0.99509999999999998</v>
      </c>
      <c r="AG65" s="80">
        <v>0.99529999999999996</v>
      </c>
      <c r="AH65" s="366">
        <v>0.98550228310502286</v>
      </c>
      <c r="AI65" s="366">
        <v>0.99098173515981736</v>
      </c>
      <c r="AJ65" s="366">
        <v>0.99760273972602742</v>
      </c>
      <c r="AK65" s="366">
        <v>0.99748858447488586</v>
      </c>
    </row>
    <row r="66" spans="29:37" x14ac:dyDescent="0.25">
      <c r="AC66" s="78">
        <v>25</v>
      </c>
      <c r="AD66" s="79">
        <v>0.99460000000000004</v>
      </c>
      <c r="AE66" s="7">
        <f t="shared" si="27"/>
        <v>0.99460000000000004</v>
      </c>
      <c r="AF66" s="7">
        <v>0.99709999999999999</v>
      </c>
      <c r="AG66" s="80">
        <v>0.99760000000000004</v>
      </c>
      <c r="AH66" s="366">
        <v>0.98949771689497712</v>
      </c>
      <c r="AI66" s="366">
        <v>0.99520547945205484</v>
      </c>
      <c r="AJ66" s="366">
        <v>0.9992009132420091</v>
      </c>
      <c r="AK66" s="366">
        <v>0.99851598173515976</v>
      </c>
    </row>
    <row r="67" spans="29:37" x14ac:dyDescent="0.25">
      <c r="AC67" s="78">
        <v>26</v>
      </c>
      <c r="AD67" s="79">
        <v>0.99839999999999995</v>
      </c>
      <c r="AE67" s="7">
        <f t="shared" si="27"/>
        <v>0.99839999999999995</v>
      </c>
      <c r="AF67" s="7">
        <v>0.99829999999999997</v>
      </c>
      <c r="AG67" s="80">
        <v>0.99780000000000002</v>
      </c>
      <c r="AH67" s="366">
        <v>0.99372146118721461</v>
      </c>
      <c r="AI67" s="366">
        <v>0.99691780821917808</v>
      </c>
      <c r="AJ67" s="366">
        <v>0.99965753424657533</v>
      </c>
      <c r="AK67" s="366">
        <v>0.99954337899543377</v>
      </c>
    </row>
    <row r="68" spans="29:37" x14ac:dyDescent="0.25">
      <c r="AC68" s="78">
        <v>27</v>
      </c>
      <c r="AD68" s="79">
        <v>0.99909999999999999</v>
      </c>
      <c r="AE68" s="7">
        <f t="shared" si="27"/>
        <v>0.99909999999999999</v>
      </c>
      <c r="AF68" s="7">
        <v>0.99929999999999997</v>
      </c>
      <c r="AG68" s="80">
        <v>0.99860000000000004</v>
      </c>
      <c r="AH68" s="366">
        <v>0.99668949771689497</v>
      </c>
      <c r="AI68" s="366">
        <v>0.99840182648401832</v>
      </c>
      <c r="AJ68" s="366">
        <v>1</v>
      </c>
      <c r="AK68" s="366">
        <v>1</v>
      </c>
    </row>
    <row r="69" spans="29:37" x14ac:dyDescent="0.25">
      <c r="AC69" s="78">
        <v>28</v>
      </c>
      <c r="AD69" s="79">
        <v>0.99939999999999996</v>
      </c>
      <c r="AE69" s="7">
        <f t="shared" si="27"/>
        <v>0.99939999999999996</v>
      </c>
      <c r="AF69" s="7">
        <v>0.99950000000000006</v>
      </c>
      <c r="AG69" s="80">
        <v>0.99929999999999997</v>
      </c>
      <c r="AH69" s="366">
        <v>0.99874429223744288</v>
      </c>
      <c r="AI69" s="366">
        <v>0.9992009132420091</v>
      </c>
      <c r="AJ69" s="366">
        <v>1</v>
      </c>
      <c r="AK69" s="366">
        <v>1</v>
      </c>
    </row>
    <row r="70" spans="29:37" x14ac:dyDescent="0.25">
      <c r="AC70" s="110">
        <v>29</v>
      </c>
      <c r="AD70" s="111">
        <v>1</v>
      </c>
      <c r="AE70" s="103">
        <f t="shared" si="27"/>
        <v>1</v>
      </c>
      <c r="AF70" s="103">
        <v>1</v>
      </c>
      <c r="AG70" s="112">
        <v>1</v>
      </c>
      <c r="AH70" s="366">
        <v>0.99965753424657533</v>
      </c>
      <c r="AI70" s="366">
        <v>0.99977168949771689</v>
      </c>
      <c r="AJ70" s="366">
        <v>1</v>
      </c>
      <c r="AK70" s="366">
        <v>1</v>
      </c>
    </row>
  </sheetData>
  <mergeCells count="7">
    <mergeCell ref="O55:T55"/>
    <mergeCell ref="O56:T56"/>
    <mergeCell ref="O57:T57"/>
    <mergeCell ref="AD4:AG4"/>
    <mergeCell ref="AH4:AK4"/>
    <mergeCell ref="AD5:AG5"/>
    <mergeCell ref="AH5:AK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Avatt. luetteloruutu 1">
              <controlPr defaultSize="0" autoLine="0" autoPict="0">
                <anchor moveWithCells="1">
                  <from>
                    <xdr:col>3</xdr:col>
                    <xdr:colOff>9525</xdr:colOff>
                    <xdr:row>11</xdr:row>
                    <xdr:rowOff>161925</xdr:rowOff>
                  </from>
                  <to>
                    <xdr:col>4</xdr:col>
                    <xdr:colOff>28575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Avatt. luetteloruutu 2">
              <controlPr defaultSize="0" autoLine="0" autoPict="0">
                <anchor moveWithCells="1">
                  <from>
                    <xdr:col>2</xdr:col>
                    <xdr:colOff>9525</xdr:colOff>
                    <xdr:row>12</xdr:row>
                    <xdr:rowOff>161925</xdr:rowOff>
                  </from>
                  <to>
                    <xdr:col>3</xdr:col>
                    <xdr:colOff>561975</xdr:colOff>
                    <xdr:row>13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389E-D41F-46C2-863D-C0DBF42B86B7}">
  <dimension ref="D2:AA28"/>
  <sheetViews>
    <sheetView topLeftCell="A4" workbookViewId="0">
      <selection activeCell="B26" sqref="B26"/>
    </sheetView>
  </sheetViews>
  <sheetFormatPr defaultRowHeight="13.5" x14ac:dyDescent="0.25"/>
  <cols>
    <col min="5" max="5" width="17.85546875" customWidth="1"/>
    <col min="6" max="6" width="19" customWidth="1"/>
    <col min="10" max="10" width="9.140625" customWidth="1"/>
    <col min="11" max="11" width="12.85546875" bestFit="1" customWidth="1"/>
    <col min="12" max="14" width="9.42578125" bestFit="1" customWidth="1"/>
    <col min="25" max="26" width="29.5703125" customWidth="1"/>
  </cols>
  <sheetData>
    <row r="2" spans="4:27" x14ac:dyDescent="0.25">
      <c r="E2" s="485"/>
      <c r="I2" t="s">
        <v>480</v>
      </c>
    </row>
    <row r="3" spans="4:27" x14ac:dyDescent="0.25">
      <c r="I3" s="546" t="s">
        <v>481</v>
      </c>
      <c r="J3" s="546"/>
      <c r="K3" s="546"/>
      <c r="L3" s="546"/>
      <c r="M3" s="546"/>
    </row>
    <row r="4" spans="4:27" x14ac:dyDescent="0.25">
      <c r="D4" t="s">
        <v>387</v>
      </c>
    </row>
    <row r="5" spans="4:27" x14ac:dyDescent="0.25">
      <c r="D5" s="6"/>
    </row>
    <row r="6" spans="4:27" x14ac:dyDescent="0.25">
      <c r="R6" s="4" t="s">
        <v>390</v>
      </c>
      <c r="S6" s="4" t="s">
        <v>391</v>
      </c>
      <c r="T6" s="4" t="s">
        <v>392</v>
      </c>
      <c r="U6" s="4" t="s">
        <v>393</v>
      </c>
    </row>
    <row r="7" spans="4:27" x14ac:dyDescent="0.25">
      <c r="D7" t="s">
        <v>353</v>
      </c>
      <c r="F7" s="548">
        <f>Tulostus!J36</f>
        <v>84</v>
      </c>
      <c r="G7" t="s">
        <v>223</v>
      </c>
      <c r="I7" t="s">
        <v>482</v>
      </c>
      <c r="R7" s="4">
        <v>17</v>
      </c>
      <c r="S7" s="4">
        <v>7</v>
      </c>
      <c r="T7" s="4">
        <v>20</v>
      </c>
      <c r="U7" s="4"/>
    </row>
    <row r="8" spans="4:27" x14ac:dyDescent="0.25">
      <c r="D8" t="s">
        <v>389</v>
      </c>
      <c r="F8" s="2">
        <f>Tulostus!J41</f>
        <v>49.722015378100927</v>
      </c>
      <c r="G8" t="s">
        <v>3</v>
      </c>
      <c r="I8" s="1">
        <v>0</v>
      </c>
      <c r="J8" t="s">
        <v>79</v>
      </c>
      <c r="K8" t="s">
        <v>451</v>
      </c>
      <c r="R8" s="4"/>
      <c r="S8" s="4"/>
      <c r="T8" s="4"/>
      <c r="U8" s="4"/>
    </row>
    <row r="9" spans="4:27" x14ac:dyDescent="0.25">
      <c r="I9" s="115">
        <f>-I8/(20-7)</f>
        <v>0</v>
      </c>
      <c r="J9" t="s">
        <v>395</v>
      </c>
      <c r="R9" s="550">
        <f>(R7-S7)/(T7-S7)</f>
        <v>0.76923076923076927</v>
      </c>
      <c r="S9" s="4"/>
      <c r="T9" s="4"/>
      <c r="U9" s="4"/>
    </row>
    <row r="10" spans="4:27" x14ac:dyDescent="0.25">
      <c r="D10" t="s">
        <v>354</v>
      </c>
      <c r="R10" s="550">
        <f>((R7-I8)-S7)/(T7-S7)</f>
        <v>0.76923076923076927</v>
      </c>
      <c r="S10" s="4"/>
      <c r="T10" s="4"/>
      <c r="U10" s="4"/>
    </row>
    <row r="11" spans="4:27" x14ac:dyDescent="0.25">
      <c r="R11" s="4"/>
      <c r="S11" s="4"/>
      <c r="T11" s="4"/>
      <c r="U11" s="4"/>
    </row>
    <row r="12" spans="4:27" x14ac:dyDescent="0.25">
      <c r="D12" s="166" t="s">
        <v>355</v>
      </c>
      <c r="E12" s="166" t="s">
        <v>388</v>
      </c>
      <c r="F12" s="166" t="s">
        <v>394</v>
      </c>
      <c r="G12" s="4"/>
      <c r="J12" s="6" t="s">
        <v>485</v>
      </c>
      <c r="R12" s="551">
        <f>R10-R9</f>
        <v>0</v>
      </c>
      <c r="S12" s="4"/>
      <c r="T12" s="4"/>
      <c r="U12" s="4"/>
      <c r="X12" s="4"/>
      <c r="Y12" s="4"/>
      <c r="Z12" s="4"/>
      <c r="AA12" s="4"/>
    </row>
    <row r="13" spans="4:27" x14ac:dyDescent="0.25">
      <c r="D13" s="166">
        <v>29.4</v>
      </c>
      <c r="E13" s="130"/>
      <c r="F13" s="483">
        <v>86.5</v>
      </c>
      <c r="G13" s="4"/>
      <c r="J13" t="s">
        <v>357</v>
      </c>
      <c r="X13" s="4"/>
      <c r="Y13" s="4"/>
      <c r="Z13" s="4"/>
      <c r="AA13" s="547"/>
    </row>
    <row r="14" spans="4:27" ht="15.75" x14ac:dyDescent="0.25">
      <c r="D14" s="166">
        <v>60.35</v>
      </c>
      <c r="E14" s="130"/>
      <c r="F14" s="483">
        <v>85.1</v>
      </c>
      <c r="J14" t="s">
        <v>484</v>
      </c>
      <c r="X14" s="4"/>
      <c r="Y14" s="4"/>
      <c r="Z14" s="4"/>
      <c r="AA14" s="547"/>
    </row>
    <row r="15" spans="4:27" x14ac:dyDescent="0.25">
      <c r="D15" s="166">
        <v>92.15</v>
      </c>
      <c r="E15" s="130"/>
      <c r="F15" s="484">
        <v>84.5</v>
      </c>
      <c r="J15" s="15" t="s">
        <v>6</v>
      </c>
      <c r="K15" s="15" t="s">
        <v>7</v>
      </c>
      <c r="L15" s="15" t="s">
        <v>8</v>
      </c>
      <c r="M15" s="15"/>
      <c r="N15" s="15"/>
      <c r="X15" s="4"/>
      <c r="Y15" s="4"/>
      <c r="Z15" s="4"/>
      <c r="AA15" s="547"/>
    </row>
    <row r="16" spans="4:27" x14ac:dyDescent="0.25">
      <c r="D16" s="166">
        <v>123.45</v>
      </c>
      <c r="E16" s="130"/>
      <c r="F16" s="483">
        <v>84.7</v>
      </c>
      <c r="J16" s="166">
        <f t="array" ref="J16:L16">LINEST(F13:F16,D13:D16^{1,2})</f>
        <v>4.1016295061650402E-4</v>
      </c>
      <c r="K16" s="166">
        <v>-8.1789647696841314E-2</v>
      </c>
      <c r="L16" s="166">
        <v>88.548071112124887</v>
      </c>
      <c r="M16" s="166"/>
      <c r="N16" s="166"/>
      <c r="X16" s="4"/>
      <c r="Y16" s="4"/>
      <c r="Z16" s="4"/>
      <c r="AA16" s="547"/>
    </row>
    <row r="17" spans="4:27" x14ac:dyDescent="0.25">
      <c r="D17" s="166"/>
      <c r="E17" s="130"/>
      <c r="F17" s="483"/>
      <c r="X17" s="4"/>
      <c r="Y17" s="4"/>
      <c r="Z17" s="4"/>
      <c r="AA17" s="547"/>
    </row>
    <row r="18" spans="4:27" x14ac:dyDescent="0.25">
      <c r="J18" s="6" t="s">
        <v>358</v>
      </c>
    </row>
    <row r="19" spans="4:27" x14ac:dyDescent="0.25">
      <c r="J19" s="1">
        <f>J16*F7^2+K16*F7+L16</f>
        <v>84.571850485140274</v>
      </c>
    </row>
    <row r="20" spans="4:27" x14ac:dyDescent="0.25">
      <c r="J20" t="s">
        <v>359</v>
      </c>
    </row>
    <row r="21" spans="4:27" x14ac:dyDescent="0.25">
      <c r="J21" s="1">
        <f>IF(J19&gt;E22,E22,IF(F7&gt;300,E23,J19))</f>
        <v>84.571850485140274</v>
      </c>
    </row>
    <row r="22" spans="4:27" x14ac:dyDescent="0.25">
      <c r="D22" s="158" t="s">
        <v>190</v>
      </c>
      <c r="E22" s="552">
        <f>F13</f>
        <v>86.5</v>
      </c>
      <c r="F22" s="365"/>
      <c r="J22" t="s">
        <v>360</v>
      </c>
    </row>
    <row r="23" spans="4:27" x14ac:dyDescent="0.25">
      <c r="D23" s="158" t="s">
        <v>356</v>
      </c>
      <c r="E23" s="552">
        <f>F16</f>
        <v>84.7</v>
      </c>
      <c r="F23" s="365"/>
      <c r="J23" s="549">
        <f>J21/100</f>
        <v>0.84571850485140276</v>
      </c>
    </row>
    <row r="24" spans="4:27" x14ac:dyDescent="0.25">
      <c r="Q24" s="1"/>
    </row>
    <row r="25" spans="4:27" x14ac:dyDescent="0.25">
      <c r="J25" s="4">
        <f>F7</f>
        <v>84</v>
      </c>
      <c r="K25" s="553">
        <f>J23*100</f>
        <v>84.571850485140274</v>
      </c>
      <c r="L25" t="s">
        <v>396</v>
      </c>
    </row>
    <row r="26" spans="4:27" x14ac:dyDescent="0.25">
      <c r="J26" s="115"/>
    </row>
    <row r="27" spans="4:27" x14ac:dyDescent="0.25">
      <c r="D27" s="4">
        <v>0</v>
      </c>
      <c r="E27" s="2">
        <f>E22</f>
        <v>86.5</v>
      </c>
    </row>
    <row r="28" spans="4:27" x14ac:dyDescent="0.25">
      <c r="D28" s="4">
        <f>D19</f>
        <v>0</v>
      </c>
      <c r="E28" s="2">
        <f>E27</f>
        <v>86.5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38774-61B4-4DD9-A094-8EECEDC6D06D}">
  <dimension ref="D2:I22"/>
  <sheetViews>
    <sheetView workbookViewId="0">
      <selection activeCell="F21" sqref="F21"/>
    </sheetView>
  </sheetViews>
  <sheetFormatPr defaultRowHeight="13.5" x14ac:dyDescent="0.25"/>
  <cols>
    <col min="5" max="5" width="10.140625" bestFit="1" customWidth="1"/>
    <col min="6" max="6" width="77.5703125" customWidth="1"/>
    <col min="7" max="7" width="18.140625" customWidth="1"/>
    <col min="8" max="8" width="21.7109375" customWidth="1"/>
    <col min="9" max="9" width="35.140625" bestFit="1" customWidth="1"/>
  </cols>
  <sheetData>
    <row r="2" spans="4:9" x14ac:dyDescent="0.25">
      <c r="D2" s="18" t="s">
        <v>208</v>
      </c>
      <c r="E2" s="31" t="s">
        <v>209</v>
      </c>
      <c r="F2" s="31" t="s">
        <v>210</v>
      </c>
      <c r="G2" s="31" t="s">
        <v>213</v>
      </c>
      <c r="H2" s="31" t="s">
        <v>211</v>
      </c>
      <c r="I2" s="31" t="s">
        <v>400</v>
      </c>
    </row>
    <row r="3" spans="4:9" x14ac:dyDescent="0.25">
      <c r="D3" t="s">
        <v>207</v>
      </c>
      <c r="E3" s="172" t="s">
        <v>453</v>
      </c>
      <c r="F3" s="30" t="s">
        <v>399</v>
      </c>
      <c r="G3" s="30" t="s">
        <v>452</v>
      </c>
      <c r="H3" s="560" t="s">
        <v>460</v>
      </c>
      <c r="I3" s="424" t="s">
        <v>454</v>
      </c>
    </row>
    <row r="4" spans="4:9" x14ac:dyDescent="0.25">
      <c r="D4" t="s">
        <v>207</v>
      </c>
      <c r="E4" s="172" t="s">
        <v>477</v>
      </c>
      <c r="F4" s="30" t="s">
        <v>478</v>
      </c>
      <c r="G4" s="30" t="s">
        <v>479</v>
      </c>
      <c r="H4" s="368"/>
      <c r="I4" s="424" t="s">
        <v>454</v>
      </c>
    </row>
    <row r="5" spans="4:9" x14ac:dyDescent="0.25">
      <c r="D5" t="s">
        <v>207</v>
      </c>
      <c r="E5" s="172" t="s">
        <v>492</v>
      </c>
      <c r="F5" s="30" t="s">
        <v>493</v>
      </c>
      <c r="G5" s="30" t="s">
        <v>494</v>
      </c>
      <c r="H5" s="172">
        <v>46275</v>
      </c>
      <c r="I5" s="424" t="s">
        <v>454</v>
      </c>
    </row>
    <row r="6" spans="4:9" x14ac:dyDescent="0.25">
      <c r="E6" s="30"/>
      <c r="F6" s="30"/>
      <c r="G6" s="30"/>
      <c r="H6" s="30"/>
      <c r="I6" s="30"/>
    </row>
    <row r="7" spans="4:9" x14ac:dyDescent="0.25">
      <c r="E7" s="30"/>
      <c r="F7" s="30"/>
      <c r="G7" s="30"/>
      <c r="H7" s="30"/>
      <c r="I7" s="30"/>
    </row>
    <row r="8" spans="4:9" x14ac:dyDescent="0.25">
      <c r="E8" s="30"/>
      <c r="F8" s="30"/>
      <c r="G8" s="30"/>
      <c r="H8" s="30"/>
      <c r="I8" s="30"/>
    </row>
    <row r="9" spans="4:9" x14ac:dyDescent="0.25">
      <c r="E9" s="30"/>
      <c r="F9" s="30"/>
      <c r="G9" s="30"/>
      <c r="H9" s="30"/>
      <c r="I9" s="30"/>
    </row>
    <row r="10" spans="4:9" x14ac:dyDescent="0.25">
      <c r="E10" s="30"/>
      <c r="F10" s="30"/>
      <c r="G10" s="30"/>
      <c r="H10" s="30"/>
      <c r="I10" s="30"/>
    </row>
    <row r="11" spans="4:9" x14ac:dyDescent="0.25">
      <c r="E11" s="30"/>
      <c r="F11" s="30"/>
      <c r="G11" s="30"/>
      <c r="H11" s="30"/>
      <c r="I11" s="30"/>
    </row>
    <row r="12" spans="4:9" x14ac:dyDescent="0.25">
      <c r="E12" s="30"/>
      <c r="F12" s="30"/>
      <c r="G12" s="30"/>
      <c r="H12" s="30"/>
      <c r="I12" s="30"/>
    </row>
    <row r="13" spans="4:9" x14ac:dyDescent="0.25">
      <c r="E13" s="30"/>
      <c r="F13" s="30"/>
      <c r="G13" s="30"/>
      <c r="H13" s="30"/>
      <c r="I13" s="30"/>
    </row>
    <row r="14" spans="4:9" x14ac:dyDescent="0.25">
      <c r="E14" s="30"/>
      <c r="F14" s="30"/>
      <c r="G14" s="30"/>
      <c r="H14" s="30"/>
      <c r="I14" s="30"/>
    </row>
    <row r="15" spans="4:9" x14ac:dyDescent="0.25">
      <c r="E15" s="30"/>
      <c r="F15" s="30"/>
      <c r="G15" s="30"/>
      <c r="H15" s="30"/>
      <c r="I15" s="30"/>
    </row>
    <row r="16" spans="4:9" x14ac:dyDescent="0.25">
      <c r="E16" s="30"/>
      <c r="F16" s="30"/>
      <c r="G16" s="30"/>
      <c r="H16" s="30"/>
      <c r="I16" s="30"/>
    </row>
    <row r="17" spans="5:9" x14ac:dyDescent="0.25">
      <c r="E17" s="30"/>
      <c r="F17" s="30"/>
      <c r="G17" s="30"/>
      <c r="H17" s="30"/>
      <c r="I17" s="30"/>
    </row>
    <row r="18" spans="5:9" x14ac:dyDescent="0.25">
      <c r="E18" s="30"/>
      <c r="F18" s="30"/>
      <c r="G18" s="30"/>
      <c r="H18" s="30"/>
      <c r="I18" s="30"/>
    </row>
    <row r="19" spans="5:9" x14ac:dyDescent="0.25">
      <c r="E19" s="30"/>
      <c r="F19" s="30"/>
      <c r="G19" s="30"/>
      <c r="H19" s="30"/>
      <c r="I19" s="30"/>
    </row>
    <row r="20" spans="5:9" x14ac:dyDescent="0.25">
      <c r="E20" s="30"/>
      <c r="F20" s="30"/>
      <c r="G20" s="30"/>
      <c r="H20" s="30"/>
      <c r="I20" s="30"/>
    </row>
    <row r="21" spans="5:9" x14ac:dyDescent="0.25">
      <c r="E21" s="30"/>
      <c r="F21" s="30"/>
      <c r="G21" s="30"/>
      <c r="H21" s="30"/>
      <c r="I21" s="30"/>
    </row>
    <row r="22" spans="5:9" x14ac:dyDescent="0.25">
      <c r="E22" s="30"/>
      <c r="F22" s="30"/>
      <c r="G22" s="30"/>
      <c r="H22" s="30"/>
      <c r="I22" s="30"/>
    </row>
  </sheetData>
  <phoneticPr fontId="3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921A-E323-4561-9229-B1A6384C330B}">
  <dimension ref="A3:S112"/>
  <sheetViews>
    <sheetView topLeftCell="A90" zoomScaleNormal="100" workbookViewId="0">
      <selection activeCell="B26" sqref="B26"/>
    </sheetView>
  </sheetViews>
  <sheetFormatPr defaultRowHeight="13.5" x14ac:dyDescent="0.25"/>
  <cols>
    <col min="3" max="3" width="11.140625" customWidth="1"/>
    <col min="6" max="6" width="12.42578125" customWidth="1"/>
    <col min="10" max="10" width="9.28515625" bestFit="1" customWidth="1"/>
    <col min="11" max="13" width="9.5703125" bestFit="1" customWidth="1"/>
    <col min="14" max="17" width="10.5703125" bestFit="1" customWidth="1"/>
    <col min="18" max="18" width="11.5703125" bestFit="1" customWidth="1"/>
  </cols>
  <sheetData>
    <row r="3" spans="2:18" x14ac:dyDescent="0.25">
      <c r="B3" s="6" t="s">
        <v>424</v>
      </c>
    </row>
    <row r="7" spans="2:18" x14ac:dyDescent="0.25">
      <c r="B7" s="6" t="s">
        <v>434</v>
      </c>
      <c r="E7" t="s">
        <v>431</v>
      </c>
    </row>
    <row r="8" spans="2:18" x14ac:dyDescent="0.25">
      <c r="B8" t="s">
        <v>439</v>
      </c>
    </row>
    <row r="9" spans="2:18" x14ac:dyDescent="0.25">
      <c r="B9" s="6" t="s">
        <v>425</v>
      </c>
      <c r="C9" t="s">
        <v>180</v>
      </c>
    </row>
    <row r="10" spans="2:18" x14ac:dyDescent="0.25">
      <c r="C10" t="s">
        <v>426</v>
      </c>
      <c r="D10" t="s">
        <v>301</v>
      </c>
      <c r="E10" t="s">
        <v>429</v>
      </c>
      <c r="F10" t="s">
        <v>427</v>
      </c>
      <c r="G10" t="s">
        <v>430</v>
      </c>
      <c r="H10" t="s">
        <v>185</v>
      </c>
      <c r="J10" s="471">
        <v>63</v>
      </c>
      <c r="K10" s="471">
        <v>125</v>
      </c>
      <c r="L10" s="471">
        <v>250</v>
      </c>
      <c r="M10" s="471">
        <v>500</v>
      </c>
      <c r="N10" s="471">
        <v>1000</v>
      </c>
      <c r="O10" s="471">
        <v>2000</v>
      </c>
      <c r="P10" s="471">
        <v>4000</v>
      </c>
      <c r="Q10" s="471">
        <v>8000</v>
      </c>
      <c r="R10" s="468"/>
    </row>
    <row r="11" spans="2:18" x14ac:dyDescent="0.25">
      <c r="B11" s="18" t="s">
        <v>428</v>
      </c>
      <c r="C11" s="18"/>
      <c r="D11" s="481"/>
      <c r="E11" s="18"/>
      <c r="F11" s="18"/>
      <c r="G11" s="18"/>
      <c r="H11" s="18"/>
      <c r="I11" s="18"/>
      <c r="J11" s="469"/>
      <c r="K11" s="469"/>
      <c r="L11" s="469"/>
      <c r="M11" s="469"/>
      <c r="N11" s="469"/>
      <c r="O11" s="469"/>
      <c r="P11" s="469"/>
      <c r="Q11" s="469"/>
      <c r="R11" s="469"/>
    </row>
    <row r="12" spans="2:18" ht="14.25" thickBot="1" x14ac:dyDescent="0.3">
      <c r="B12" s="474" t="s">
        <v>432</v>
      </c>
      <c r="C12" s="474"/>
      <c r="D12" s="482"/>
      <c r="E12" s="474"/>
      <c r="F12" s="474"/>
      <c r="G12" s="474"/>
      <c r="H12" s="474"/>
      <c r="I12" s="474"/>
      <c r="J12" s="475"/>
      <c r="K12" s="475"/>
      <c r="L12" s="475"/>
      <c r="M12" s="475"/>
      <c r="N12" s="475"/>
      <c r="O12" s="475"/>
      <c r="P12" s="475"/>
      <c r="Q12" s="475"/>
    </row>
    <row r="13" spans="2:18" x14ac:dyDescent="0.25">
      <c r="B13" s="472" t="s">
        <v>404</v>
      </c>
      <c r="C13" s="472">
        <f>C11-C12</f>
        <v>0</v>
      </c>
      <c r="D13" s="472">
        <f t="shared" ref="D13:Q13" si="0">D11-D12</f>
        <v>0</v>
      </c>
      <c r="E13" s="472">
        <f t="shared" si="0"/>
        <v>0</v>
      </c>
      <c r="F13" s="472">
        <f t="shared" si="0"/>
        <v>0</v>
      </c>
      <c r="G13" s="472">
        <f t="shared" si="0"/>
        <v>0</v>
      </c>
      <c r="H13" s="472">
        <f t="shared" si="0"/>
        <v>0</v>
      </c>
      <c r="I13" s="472"/>
      <c r="J13" s="473">
        <f t="shared" si="0"/>
        <v>0</v>
      </c>
      <c r="K13" s="473">
        <f t="shared" si="0"/>
        <v>0</v>
      </c>
      <c r="L13" s="473">
        <f t="shared" si="0"/>
        <v>0</v>
      </c>
      <c r="M13" s="473">
        <f t="shared" si="0"/>
        <v>0</v>
      </c>
      <c r="N13" s="473">
        <f t="shared" si="0"/>
        <v>0</v>
      </c>
      <c r="O13" s="473">
        <f t="shared" si="0"/>
        <v>0</v>
      </c>
      <c r="P13" s="473">
        <f t="shared" si="0"/>
        <v>0</v>
      </c>
      <c r="Q13" s="473">
        <f t="shared" si="0"/>
        <v>0</v>
      </c>
    </row>
    <row r="16" spans="2:18" x14ac:dyDescent="0.25">
      <c r="B16" s="6" t="s">
        <v>433</v>
      </c>
      <c r="C16" t="s">
        <v>182</v>
      </c>
    </row>
    <row r="17" spans="2:19" x14ac:dyDescent="0.25">
      <c r="C17" t="s">
        <v>426</v>
      </c>
      <c r="D17" t="s">
        <v>301</v>
      </c>
      <c r="E17" t="s">
        <v>429</v>
      </c>
      <c r="F17" t="s">
        <v>427</v>
      </c>
      <c r="G17" t="s">
        <v>430</v>
      </c>
      <c r="H17" t="s">
        <v>185</v>
      </c>
      <c r="J17" s="471">
        <v>63</v>
      </c>
      <c r="K17" s="471">
        <v>125</v>
      </c>
      <c r="L17" s="471">
        <v>250</v>
      </c>
      <c r="M17" s="471">
        <v>500</v>
      </c>
      <c r="N17" s="471">
        <v>1000</v>
      </c>
      <c r="O17" s="471">
        <v>2000</v>
      </c>
      <c r="P17" s="471">
        <v>4000</v>
      </c>
      <c r="Q17" s="471">
        <v>8000</v>
      </c>
    </row>
    <row r="18" spans="2:19" x14ac:dyDescent="0.25">
      <c r="B18" s="18" t="s">
        <v>428</v>
      </c>
      <c r="C18" s="18"/>
      <c r="D18" s="18"/>
      <c r="E18" s="18"/>
      <c r="F18" s="18"/>
      <c r="G18" s="18"/>
      <c r="H18" s="18"/>
      <c r="I18" s="18"/>
      <c r="J18" s="469"/>
      <c r="K18" s="469"/>
      <c r="L18" s="469"/>
      <c r="M18" s="469"/>
      <c r="N18" s="469"/>
      <c r="O18" s="469"/>
      <c r="P18" s="469"/>
      <c r="Q18" s="469"/>
    </row>
    <row r="19" spans="2:19" ht="14.25" thickBot="1" x14ac:dyDescent="0.3">
      <c r="B19" s="474" t="s">
        <v>432</v>
      </c>
      <c r="C19" s="474"/>
      <c r="D19" s="474"/>
      <c r="E19" s="474"/>
      <c r="F19" s="474"/>
      <c r="G19" s="474"/>
      <c r="H19" s="474"/>
      <c r="I19" s="474"/>
      <c r="J19" s="475"/>
      <c r="K19" s="475"/>
      <c r="L19" s="475"/>
      <c r="M19" s="475"/>
      <c r="N19" s="475"/>
      <c r="O19" s="475"/>
      <c r="P19" s="475"/>
      <c r="Q19" s="475"/>
    </row>
    <row r="20" spans="2:19" x14ac:dyDescent="0.25">
      <c r="B20" s="472" t="s">
        <v>404</v>
      </c>
      <c r="C20" s="472">
        <f>C18-C19</f>
        <v>0</v>
      </c>
      <c r="D20" s="472">
        <f t="shared" ref="D20:Q20" si="1">D18-D19</f>
        <v>0</v>
      </c>
      <c r="E20" s="472">
        <f t="shared" si="1"/>
        <v>0</v>
      </c>
      <c r="F20" s="472">
        <f t="shared" si="1"/>
        <v>0</v>
      </c>
      <c r="G20" s="472">
        <f t="shared" si="1"/>
        <v>0</v>
      </c>
      <c r="H20" s="472">
        <f t="shared" si="1"/>
        <v>0</v>
      </c>
      <c r="I20" s="472"/>
      <c r="J20" s="473">
        <f t="shared" si="1"/>
        <v>0</v>
      </c>
      <c r="K20" s="473">
        <f t="shared" si="1"/>
        <v>0</v>
      </c>
      <c r="L20" s="477">
        <f t="shared" si="1"/>
        <v>0</v>
      </c>
      <c r="M20" s="473">
        <f t="shared" si="1"/>
        <v>0</v>
      </c>
      <c r="N20" s="473">
        <f t="shared" si="1"/>
        <v>0</v>
      </c>
      <c r="O20" s="473">
        <f t="shared" si="1"/>
        <v>0</v>
      </c>
      <c r="P20" s="473">
        <f t="shared" si="1"/>
        <v>0</v>
      </c>
      <c r="Q20" s="473">
        <f t="shared" si="1"/>
        <v>0</v>
      </c>
      <c r="R20" s="472"/>
    </row>
    <row r="22" spans="2:19" x14ac:dyDescent="0.25">
      <c r="L22" s="476"/>
    </row>
    <row r="23" spans="2:19" x14ac:dyDescent="0.25">
      <c r="B23" s="6" t="s">
        <v>440</v>
      </c>
      <c r="C23" t="s">
        <v>200</v>
      </c>
    </row>
    <row r="24" spans="2:19" x14ac:dyDescent="0.25">
      <c r="C24" t="s">
        <v>426</v>
      </c>
      <c r="D24" t="s">
        <v>438</v>
      </c>
      <c r="E24" t="s">
        <v>437</v>
      </c>
      <c r="F24" t="s">
        <v>435</v>
      </c>
      <c r="G24" t="s">
        <v>436</v>
      </c>
      <c r="H24" t="s">
        <v>427</v>
      </c>
      <c r="I24" t="s">
        <v>430</v>
      </c>
      <c r="J24" t="s">
        <v>185</v>
      </c>
      <c r="L24" s="471">
        <v>63</v>
      </c>
      <c r="M24" s="471">
        <v>125</v>
      </c>
      <c r="N24" s="471">
        <v>250</v>
      </c>
      <c r="O24" s="471">
        <v>500</v>
      </c>
      <c r="P24" s="471">
        <v>1000</v>
      </c>
      <c r="Q24" s="471">
        <v>2000</v>
      </c>
      <c r="R24" s="471">
        <v>4000</v>
      </c>
      <c r="S24" s="471">
        <v>8000</v>
      </c>
    </row>
    <row r="25" spans="2:19" x14ac:dyDescent="0.25">
      <c r="B25" s="18" t="s">
        <v>428</v>
      </c>
      <c r="C25" s="18"/>
      <c r="D25" s="18"/>
      <c r="E25" s="18"/>
      <c r="F25" s="18"/>
      <c r="G25" s="18"/>
      <c r="H25" s="18"/>
      <c r="I25" s="470"/>
      <c r="J25" s="470"/>
      <c r="K25" s="18"/>
      <c r="L25" s="88"/>
      <c r="M25" s="88"/>
      <c r="N25" s="88"/>
      <c r="O25" s="88"/>
      <c r="P25" s="88"/>
      <c r="Q25" s="88"/>
      <c r="R25" s="88"/>
      <c r="S25" s="88"/>
    </row>
    <row r="26" spans="2:19" ht="14.25" thickBot="1" x14ac:dyDescent="0.3">
      <c r="B26" s="474" t="s">
        <v>432</v>
      </c>
      <c r="C26" s="478"/>
      <c r="D26" s="478"/>
      <c r="E26" s="478"/>
      <c r="F26" s="478"/>
      <c r="G26" s="478"/>
      <c r="H26" s="478"/>
      <c r="I26" s="479"/>
      <c r="J26" s="479"/>
      <c r="K26" s="478"/>
      <c r="L26" s="480"/>
      <c r="M26" s="480"/>
      <c r="N26" s="480"/>
      <c r="O26" s="480"/>
      <c r="P26" s="480"/>
      <c r="Q26" s="480"/>
      <c r="R26" s="480"/>
      <c r="S26" s="480"/>
    </row>
    <row r="27" spans="2:19" x14ac:dyDescent="0.25">
      <c r="B27" s="472" t="s">
        <v>404</v>
      </c>
      <c r="D27" s="10">
        <f t="shared" ref="D27:S27" si="2">D25-D26</f>
        <v>0</v>
      </c>
      <c r="E27" s="10">
        <f t="shared" si="2"/>
        <v>0</v>
      </c>
      <c r="F27" s="10">
        <f t="shared" si="2"/>
        <v>0</v>
      </c>
      <c r="G27" s="10">
        <f t="shared" si="2"/>
        <v>0</v>
      </c>
      <c r="H27" s="10">
        <f t="shared" si="2"/>
        <v>0</v>
      </c>
      <c r="I27" s="10">
        <f t="shared" si="2"/>
        <v>0</v>
      </c>
      <c r="J27" s="10">
        <f t="shared" si="2"/>
        <v>0</v>
      </c>
      <c r="K27" s="10"/>
      <c r="L27" s="10">
        <f t="shared" si="2"/>
        <v>0</v>
      </c>
      <c r="M27" s="10">
        <f t="shared" si="2"/>
        <v>0</v>
      </c>
      <c r="N27" s="10">
        <f t="shared" si="2"/>
        <v>0</v>
      </c>
      <c r="O27" s="10">
        <f t="shared" si="2"/>
        <v>0</v>
      </c>
      <c r="P27" s="10">
        <f t="shared" si="2"/>
        <v>0</v>
      </c>
      <c r="Q27" s="10">
        <f t="shared" si="2"/>
        <v>0</v>
      </c>
      <c r="R27" s="10">
        <f t="shared" si="2"/>
        <v>0</v>
      </c>
      <c r="S27" s="10">
        <f t="shared" si="2"/>
        <v>0</v>
      </c>
    </row>
    <row r="32" spans="2:19" x14ac:dyDescent="0.25">
      <c r="B32" t="s">
        <v>441</v>
      </c>
    </row>
    <row r="34" spans="2:17" x14ac:dyDescent="0.25">
      <c r="B34" s="6" t="s">
        <v>251</v>
      </c>
      <c r="C34" t="s">
        <v>180</v>
      </c>
    </row>
    <row r="35" spans="2:17" x14ac:dyDescent="0.25">
      <c r="C35" t="s">
        <v>426</v>
      </c>
      <c r="D35" t="s">
        <v>301</v>
      </c>
      <c r="E35" t="s">
        <v>429</v>
      </c>
      <c r="F35" t="s">
        <v>427</v>
      </c>
      <c r="G35" t="s">
        <v>430</v>
      </c>
      <c r="H35" t="s">
        <v>185</v>
      </c>
      <c r="J35" s="471">
        <v>63</v>
      </c>
      <c r="K35" s="471">
        <v>125</v>
      </c>
      <c r="L35" s="471">
        <v>250</v>
      </c>
      <c r="M35" s="471">
        <v>500</v>
      </c>
      <c r="N35" s="471">
        <v>1000</v>
      </c>
      <c r="O35" s="471">
        <v>2000</v>
      </c>
      <c r="P35" s="471">
        <v>4000</v>
      </c>
      <c r="Q35" s="471">
        <v>8000</v>
      </c>
    </row>
    <row r="36" spans="2:17" x14ac:dyDescent="0.25">
      <c r="B36" t="s">
        <v>442</v>
      </c>
      <c r="C36">
        <v>10</v>
      </c>
      <c r="D36">
        <v>121.8</v>
      </c>
      <c r="E36">
        <v>339.6</v>
      </c>
      <c r="F36">
        <v>179</v>
      </c>
      <c r="G36">
        <v>80.599999999999994</v>
      </c>
      <c r="H36">
        <v>74.900000000000006</v>
      </c>
      <c r="J36">
        <v>75.599999999999994</v>
      </c>
      <c r="K36">
        <v>72.099999999999994</v>
      </c>
      <c r="L36">
        <v>69.2</v>
      </c>
      <c r="M36">
        <v>76.900000000000006</v>
      </c>
      <c r="N36">
        <v>63.1</v>
      </c>
      <c r="O36">
        <v>62</v>
      </c>
      <c r="P36">
        <v>60.4</v>
      </c>
      <c r="Q36">
        <v>50.4</v>
      </c>
    </row>
    <row r="37" spans="2:17" x14ac:dyDescent="0.25">
      <c r="B37" s="18" t="s">
        <v>443</v>
      </c>
      <c r="C37" s="18">
        <v>9.93</v>
      </c>
      <c r="D37" s="18">
        <v>121.8</v>
      </c>
      <c r="E37" s="18">
        <v>339.6</v>
      </c>
      <c r="F37" s="18">
        <f>171.1+6.1</f>
        <v>177.2</v>
      </c>
      <c r="G37" s="470">
        <v>79.408799889521902</v>
      </c>
      <c r="H37" s="470">
        <v>73.770792229600545</v>
      </c>
      <c r="I37" s="18"/>
      <c r="J37" s="470">
        <v>74.770792229600545</v>
      </c>
      <c r="K37" s="470">
        <v>71.770792229600545</v>
      </c>
      <c r="L37" s="470">
        <v>68.770792229600545</v>
      </c>
      <c r="M37" s="470">
        <v>74.770792229600545</v>
      </c>
      <c r="N37" s="470">
        <v>62.770792229600545</v>
      </c>
      <c r="O37" s="470">
        <v>61.770792229600545</v>
      </c>
      <c r="P37" s="470">
        <v>60.770792229600545</v>
      </c>
      <c r="Q37" s="470">
        <v>50.770792229600545</v>
      </c>
    </row>
    <row r="38" spans="2:17" x14ac:dyDescent="0.25">
      <c r="B38" s="472" t="s">
        <v>404</v>
      </c>
      <c r="C38" s="10">
        <f>C36-C37</f>
        <v>7.0000000000000284E-2</v>
      </c>
      <c r="D38" s="10">
        <f t="shared" ref="D38:Q38" si="3">D36-D37</f>
        <v>0</v>
      </c>
      <c r="E38" s="10">
        <f t="shared" si="3"/>
        <v>0</v>
      </c>
      <c r="F38" s="10">
        <f>F37-F36</f>
        <v>-1.8000000000000114</v>
      </c>
      <c r="G38" s="10">
        <f t="shared" si="3"/>
        <v>1.1912001104780927</v>
      </c>
      <c r="H38" s="10">
        <f t="shared" si="3"/>
        <v>1.1292077703994607</v>
      </c>
      <c r="I38" s="10"/>
      <c r="J38" s="10">
        <f t="shared" si="3"/>
        <v>0.82920777039944937</v>
      </c>
      <c r="K38" s="10">
        <f t="shared" si="3"/>
        <v>0.32920777039944937</v>
      </c>
      <c r="L38" s="10">
        <f t="shared" si="3"/>
        <v>0.4292077703994579</v>
      </c>
      <c r="M38" s="10">
        <f t="shared" si="3"/>
        <v>2.1292077703994607</v>
      </c>
      <c r="N38" s="10">
        <f t="shared" si="3"/>
        <v>0.32920777039945648</v>
      </c>
      <c r="O38" s="10">
        <f t="shared" si="3"/>
        <v>0.22920777039945506</v>
      </c>
      <c r="P38" s="10">
        <f t="shared" si="3"/>
        <v>-0.37079222960054636</v>
      </c>
      <c r="Q38" s="10">
        <f t="shared" si="3"/>
        <v>-0.37079222960054636</v>
      </c>
    </row>
    <row r="39" spans="2:17" x14ac:dyDescent="0.25">
      <c r="F39" s="557">
        <f>F38/F36</f>
        <v>-1.0055865921787773E-2</v>
      </c>
    </row>
    <row r="40" spans="2:17" x14ac:dyDescent="0.25">
      <c r="B40" s="6" t="s">
        <v>252</v>
      </c>
      <c r="C40" t="s">
        <v>180</v>
      </c>
    </row>
    <row r="41" spans="2:17" x14ac:dyDescent="0.25">
      <c r="C41" t="s">
        <v>426</v>
      </c>
      <c r="D41" t="s">
        <v>301</v>
      </c>
      <c r="E41" t="s">
        <v>429</v>
      </c>
      <c r="F41" t="s">
        <v>427</v>
      </c>
      <c r="G41" t="s">
        <v>430</v>
      </c>
      <c r="H41" t="s">
        <v>185</v>
      </c>
      <c r="J41" s="471">
        <v>63</v>
      </c>
      <c r="K41" s="471">
        <v>125</v>
      </c>
      <c r="L41" s="471">
        <v>250</v>
      </c>
      <c r="M41" s="471">
        <v>500</v>
      </c>
      <c r="N41" s="471">
        <v>1000</v>
      </c>
      <c r="O41" s="471">
        <v>2000</v>
      </c>
      <c r="P41" s="471">
        <v>4000</v>
      </c>
      <c r="Q41" s="471">
        <v>8000</v>
      </c>
    </row>
    <row r="42" spans="2:17" x14ac:dyDescent="0.25">
      <c r="B42" t="s">
        <v>442</v>
      </c>
      <c r="C42" s="1">
        <v>6</v>
      </c>
      <c r="D42">
        <v>81.7</v>
      </c>
      <c r="E42">
        <v>84.3</v>
      </c>
      <c r="F42">
        <v>58.7</v>
      </c>
      <c r="G42">
        <v>70.2</v>
      </c>
      <c r="H42">
        <v>62.3</v>
      </c>
      <c r="J42">
        <v>64.400000000000006</v>
      </c>
      <c r="K42">
        <v>64.599999999999994</v>
      </c>
      <c r="L42">
        <v>65</v>
      </c>
      <c r="M42">
        <v>60.8</v>
      </c>
      <c r="N42">
        <v>53.6</v>
      </c>
      <c r="O42">
        <v>52.9</v>
      </c>
      <c r="P42">
        <v>48.6</v>
      </c>
      <c r="Q42">
        <v>37.4</v>
      </c>
    </row>
    <row r="43" spans="2:17" x14ac:dyDescent="0.25">
      <c r="B43" s="18" t="s">
        <v>443</v>
      </c>
      <c r="C43" s="18">
        <v>5.96</v>
      </c>
      <c r="D43" s="18">
        <v>81.7</v>
      </c>
      <c r="E43" s="18">
        <v>84.3</v>
      </c>
      <c r="F43" s="18">
        <f>53.4+6.1</f>
        <v>59.5</v>
      </c>
      <c r="G43" s="470">
        <v>70.845599166491255</v>
      </c>
      <c r="H43" s="470">
        <v>63.156065975469957</v>
      </c>
      <c r="I43" s="18"/>
      <c r="J43" s="470">
        <v>64.156065975469957</v>
      </c>
      <c r="K43" s="470">
        <v>64.156065975469957</v>
      </c>
      <c r="L43" s="470">
        <v>67.156065975469957</v>
      </c>
      <c r="M43" s="470">
        <v>61.156065975469957</v>
      </c>
      <c r="N43" s="470">
        <v>53.156065975469957</v>
      </c>
      <c r="O43" s="470">
        <v>52.156065975469957</v>
      </c>
      <c r="P43" s="470">
        <v>48.156065975469957</v>
      </c>
      <c r="Q43" s="470">
        <v>37.156065975469957</v>
      </c>
    </row>
    <row r="44" spans="2:17" x14ac:dyDescent="0.25">
      <c r="B44" s="472" t="s">
        <v>404</v>
      </c>
      <c r="C44" s="10">
        <f>C42-C43</f>
        <v>4.0000000000000036E-2</v>
      </c>
      <c r="D44" s="10">
        <f t="shared" ref="D44" si="4">D42-D43</f>
        <v>0</v>
      </c>
      <c r="E44" s="10">
        <f t="shared" ref="E44" si="5">E42-E43</f>
        <v>0</v>
      </c>
      <c r="F44" s="10">
        <f>F43-F42</f>
        <v>0.79999999999999716</v>
      </c>
      <c r="G44" s="10">
        <f t="shared" ref="G44" si="6">G42-G43</f>
        <v>-0.64559916649125171</v>
      </c>
      <c r="H44" s="10">
        <f t="shared" ref="H44" si="7">H42-H43</f>
        <v>-0.85606597546995999</v>
      </c>
      <c r="I44" s="10"/>
      <c r="J44" s="10">
        <f t="shared" ref="J44" si="8">J42-J43</f>
        <v>0.24393402453004853</v>
      </c>
      <c r="K44" s="10">
        <f t="shared" ref="K44" si="9">K42-K43</f>
        <v>0.44393402453003716</v>
      </c>
      <c r="L44" s="10">
        <f t="shared" ref="L44" si="10">L42-L43</f>
        <v>-2.1560659754699572</v>
      </c>
      <c r="M44" s="10">
        <f t="shared" ref="M44" si="11">M42-M43</f>
        <v>-0.35606597546995999</v>
      </c>
      <c r="N44" s="10">
        <f t="shared" ref="N44" si="12">N42-N43</f>
        <v>0.44393402453004427</v>
      </c>
      <c r="O44" s="10">
        <f t="shared" ref="O44" si="13">O42-O43</f>
        <v>0.74393402453004143</v>
      </c>
      <c r="P44" s="10">
        <f t="shared" ref="P44" si="14">P42-P43</f>
        <v>0.44393402453004427</v>
      </c>
      <c r="Q44" s="10">
        <f t="shared" ref="Q44" si="15">Q42-Q43</f>
        <v>0.24393402453004143</v>
      </c>
    </row>
    <row r="45" spans="2:17" x14ac:dyDescent="0.25">
      <c r="F45" s="557">
        <f>F44/F42</f>
        <v>1.3628620102214602E-2</v>
      </c>
    </row>
    <row r="46" spans="2:17" x14ac:dyDescent="0.25">
      <c r="B46" s="6" t="s">
        <v>253</v>
      </c>
      <c r="C46" t="s">
        <v>180</v>
      </c>
    </row>
    <row r="47" spans="2:17" x14ac:dyDescent="0.25">
      <c r="C47" t="s">
        <v>426</v>
      </c>
      <c r="D47" t="s">
        <v>301</v>
      </c>
      <c r="E47" t="s">
        <v>429</v>
      </c>
      <c r="F47" t="s">
        <v>427</v>
      </c>
      <c r="G47" t="s">
        <v>430</v>
      </c>
      <c r="H47" t="s">
        <v>185</v>
      </c>
      <c r="J47" s="471">
        <v>63</v>
      </c>
      <c r="K47" s="471">
        <v>125</v>
      </c>
      <c r="L47" s="471">
        <v>250</v>
      </c>
      <c r="M47" s="471">
        <v>500</v>
      </c>
      <c r="N47" s="471">
        <v>1000</v>
      </c>
      <c r="O47" s="471">
        <v>2000</v>
      </c>
      <c r="P47" s="471">
        <v>4000</v>
      </c>
      <c r="Q47" s="471">
        <v>8000</v>
      </c>
    </row>
    <row r="48" spans="2:17" x14ac:dyDescent="0.25">
      <c r="B48" t="s">
        <v>442</v>
      </c>
      <c r="C48">
        <v>4</v>
      </c>
      <c r="D48">
        <v>44.5</v>
      </c>
      <c r="E48">
        <v>49.9</v>
      </c>
      <c r="F48">
        <v>25.9</v>
      </c>
      <c r="G48">
        <v>65.7</v>
      </c>
      <c r="H48">
        <v>55.2</v>
      </c>
      <c r="J48">
        <v>56.8</v>
      </c>
      <c r="K48">
        <v>60.4</v>
      </c>
      <c r="L48">
        <v>62.9</v>
      </c>
      <c r="M48">
        <v>50.8</v>
      </c>
      <c r="N48">
        <v>44.9</v>
      </c>
      <c r="O48">
        <v>42</v>
      </c>
      <c r="P48">
        <v>36.700000000000003</v>
      </c>
      <c r="Q48">
        <v>25.8</v>
      </c>
    </row>
    <row r="49" spans="2:17" x14ac:dyDescent="0.25">
      <c r="B49" s="18" t="s">
        <v>443</v>
      </c>
      <c r="C49" s="18">
        <v>3.99</v>
      </c>
      <c r="D49" s="18">
        <v>44.5</v>
      </c>
      <c r="E49" s="18">
        <v>49.9</v>
      </c>
      <c r="F49" s="18">
        <f>19.6+6.1</f>
        <v>25.700000000000003</v>
      </c>
      <c r="G49" s="470">
        <v>64.375053000084051</v>
      </c>
      <c r="H49" s="470">
        <v>55.008444975790255</v>
      </c>
      <c r="I49" s="18"/>
      <c r="J49" s="470">
        <v>57.008444975790255</v>
      </c>
      <c r="K49" s="470">
        <v>59.008444975790255</v>
      </c>
      <c r="L49" s="470">
        <v>61.008444975790255</v>
      </c>
      <c r="M49" s="470">
        <v>51.008444975790255</v>
      </c>
      <c r="N49" s="470">
        <v>45.008444975790255</v>
      </c>
      <c r="O49" s="470">
        <v>42.008444975790255</v>
      </c>
      <c r="P49" s="470">
        <v>37.008444975790255</v>
      </c>
      <c r="Q49" s="470">
        <v>25.008444975790255</v>
      </c>
    </row>
    <row r="50" spans="2:17" x14ac:dyDescent="0.25">
      <c r="B50" s="472" t="s">
        <v>404</v>
      </c>
      <c r="C50">
        <f>C48-C49</f>
        <v>9.9999999999997868E-3</v>
      </c>
      <c r="D50">
        <f t="shared" ref="D50:Q50" si="16">D48-D49</f>
        <v>0</v>
      </c>
      <c r="E50">
        <f t="shared" si="16"/>
        <v>0</v>
      </c>
      <c r="F50" s="10">
        <f>F49-F48</f>
        <v>-0.19999999999999574</v>
      </c>
      <c r="G50" s="10">
        <f t="shared" si="16"/>
        <v>1.3249469999159516</v>
      </c>
      <c r="H50" s="10">
        <f t="shared" si="16"/>
        <v>0.19155502420974813</v>
      </c>
      <c r="J50" s="10">
        <f t="shared" si="16"/>
        <v>-0.20844497579025756</v>
      </c>
      <c r="K50" s="10">
        <f t="shared" si="16"/>
        <v>1.3915550242097439</v>
      </c>
      <c r="L50" s="10">
        <f t="shared" si="16"/>
        <v>1.8915550242097439</v>
      </c>
      <c r="M50" s="10">
        <f t="shared" si="16"/>
        <v>-0.20844497579025756</v>
      </c>
      <c r="N50" s="10">
        <f t="shared" si="16"/>
        <v>-0.10844497579025614</v>
      </c>
      <c r="O50" s="10">
        <f t="shared" si="16"/>
        <v>-8.4449757902547162E-3</v>
      </c>
      <c r="P50" s="10">
        <f t="shared" si="16"/>
        <v>-0.30844497579025187</v>
      </c>
      <c r="Q50" s="10">
        <f t="shared" si="16"/>
        <v>0.79155502420974599</v>
      </c>
    </row>
    <row r="51" spans="2:17" x14ac:dyDescent="0.25">
      <c r="F51" s="557">
        <f>F50/F48</f>
        <v>-7.7220077220075583E-3</v>
      </c>
    </row>
    <row r="52" spans="2:17" x14ac:dyDescent="0.25">
      <c r="B52" s="6" t="s">
        <v>254</v>
      </c>
      <c r="C52" t="s">
        <v>182</v>
      </c>
    </row>
    <row r="53" spans="2:17" x14ac:dyDescent="0.25">
      <c r="C53" t="s">
        <v>426</v>
      </c>
      <c r="D53" t="s">
        <v>301</v>
      </c>
      <c r="E53" t="s">
        <v>429</v>
      </c>
      <c r="F53" t="s">
        <v>427</v>
      </c>
      <c r="G53" t="s">
        <v>430</v>
      </c>
      <c r="H53" t="s">
        <v>185</v>
      </c>
      <c r="J53" s="471">
        <v>63</v>
      </c>
      <c r="K53" s="471">
        <v>125</v>
      </c>
      <c r="L53" s="471">
        <v>250</v>
      </c>
      <c r="M53" s="471">
        <v>500</v>
      </c>
      <c r="N53" s="471">
        <v>1000</v>
      </c>
      <c r="O53" s="471">
        <v>2000</v>
      </c>
      <c r="P53" s="471">
        <v>4000</v>
      </c>
      <c r="Q53" s="471">
        <v>8000</v>
      </c>
    </row>
    <row r="54" spans="2:17" x14ac:dyDescent="0.25">
      <c r="B54" t="s">
        <v>442</v>
      </c>
      <c r="C54">
        <v>8</v>
      </c>
      <c r="D54">
        <v>122.3</v>
      </c>
      <c r="E54">
        <v>167.8</v>
      </c>
      <c r="F54">
        <v>124</v>
      </c>
      <c r="G54">
        <v>73</v>
      </c>
      <c r="H54">
        <v>62.5</v>
      </c>
      <c r="J54">
        <v>68.2</v>
      </c>
      <c r="K54">
        <v>67.599999999999994</v>
      </c>
      <c r="L54">
        <v>67.900000000000006</v>
      </c>
      <c r="M54">
        <v>61</v>
      </c>
      <c r="N54">
        <v>54.5</v>
      </c>
      <c r="O54">
        <v>48.5</v>
      </c>
      <c r="P54">
        <v>38.5</v>
      </c>
      <c r="Q54">
        <v>28.4</v>
      </c>
    </row>
    <row r="55" spans="2:17" x14ac:dyDescent="0.25">
      <c r="B55" s="18" t="s">
        <v>443</v>
      </c>
      <c r="C55" s="18">
        <v>8.01</v>
      </c>
      <c r="D55" s="18">
        <v>122.3</v>
      </c>
      <c r="E55" s="18">
        <v>167.8</v>
      </c>
      <c r="F55" s="18">
        <f>118.2+6.1</f>
        <v>124.3</v>
      </c>
      <c r="G55" s="470">
        <v>73.912665504592226</v>
      </c>
      <c r="H55" s="470">
        <v>62.990153270884832</v>
      </c>
      <c r="I55" s="18"/>
      <c r="J55" s="470">
        <v>70.990153270884832</v>
      </c>
      <c r="K55" s="470">
        <v>67.990153270884832</v>
      </c>
      <c r="L55" s="470">
        <v>64.990153270884832</v>
      </c>
      <c r="M55" s="470">
        <v>62.990153270884832</v>
      </c>
      <c r="N55" s="470">
        <v>56.990153270884832</v>
      </c>
      <c r="O55" s="470">
        <v>49.990153270884832</v>
      </c>
      <c r="P55" s="470">
        <v>41.990153270884832</v>
      </c>
      <c r="Q55" s="470">
        <v>30.990153270884832</v>
      </c>
    </row>
    <row r="56" spans="2:17" x14ac:dyDescent="0.25">
      <c r="B56" s="472" t="s">
        <v>404</v>
      </c>
      <c r="C56">
        <f>C54-C55</f>
        <v>-9.9999999999997868E-3</v>
      </c>
      <c r="D56">
        <f t="shared" ref="D56:H56" si="17">D54-D55</f>
        <v>0</v>
      </c>
      <c r="E56">
        <f t="shared" si="17"/>
        <v>0</v>
      </c>
      <c r="F56" s="10">
        <f>F55-F54</f>
        <v>0.29999999999999716</v>
      </c>
      <c r="G56" s="10">
        <f t="shared" si="17"/>
        <v>-0.91266550459222628</v>
      </c>
      <c r="H56" s="10">
        <f t="shared" si="17"/>
        <v>-0.49015327088483218</v>
      </c>
      <c r="J56" s="10">
        <f t="shared" ref="J56:Q56" si="18">J54-J55</f>
        <v>-2.7901532708848293</v>
      </c>
      <c r="K56" s="10">
        <f t="shared" si="18"/>
        <v>-0.39015327088483787</v>
      </c>
      <c r="L56" s="10">
        <f t="shared" si="18"/>
        <v>2.9098467291151735</v>
      </c>
      <c r="M56" s="10">
        <f t="shared" si="18"/>
        <v>-1.9901532708848322</v>
      </c>
      <c r="N56" s="10">
        <f t="shared" si="18"/>
        <v>-2.4901532708848322</v>
      </c>
      <c r="O56" s="10">
        <f t="shared" si="18"/>
        <v>-1.4901532708848322</v>
      </c>
      <c r="P56" s="10">
        <f t="shared" si="18"/>
        <v>-3.4901532708848322</v>
      </c>
      <c r="Q56" s="10">
        <f t="shared" si="18"/>
        <v>-2.5901532708848336</v>
      </c>
    </row>
    <row r="57" spans="2:17" x14ac:dyDescent="0.25">
      <c r="F57" s="557">
        <f>F56/F54</f>
        <v>2.4193548387096545E-3</v>
      </c>
    </row>
    <row r="58" spans="2:17" x14ac:dyDescent="0.25">
      <c r="B58" s="6" t="s">
        <v>255</v>
      </c>
      <c r="C58" t="s">
        <v>182</v>
      </c>
    </row>
    <row r="59" spans="2:17" x14ac:dyDescent="0.25">
      <c r="C59" t="s">
        <v>426</v>
      </c>
      <c r="D59" t="s">
        <v>301</v>
      </c>
      <c r="E59" t="s">
        <v>429</v>
      </c>
      <c r="F59" t="s">
        <v>427</v>
      </c>
      <c r="G59" t="s">
        <v>430</v>
      </c>
      <c r="H59" t="s">
        <v>185</v>
      </c>
      <c r="J59" s="471">
        <v>63</v>
      </c>
      <c r="K59" s="471">
        <v>125</v>
      </c>
      <c r="L59" s="471">
        <v>250</v>
      </c>
      <c r="M59" s="471">
        <v>500</v>
      </c>
      <c r="N59" s="471">
        <v>1000</v>
      </c>
      <c r="O59" s="471">
        <v>2000</v>
      </c>
      <c r="P59" s="471">
        <v>4000</v>
      </c>
      <c r="Q59" s="471">
        <v>8000</v>
      </c>
    </row>
    <row r="60" spans="2:17" x14ac:dyDescent="0.25">
      <c r="B60" t="s">
        <v>442</v>
      </c>
      <c r="C60">
        <v>4</v>
      </c>
      <c r="D60">
        <v>71.400000000000006</v>
      </c>
      <c r="E60">
        <v>181.3</v>
      </c>
      <c r="F60">
        <v>59.4</v>
      </c>
      <c r="G60">
        <v>69.2</v>
      </c>
      <c r="H60">
        <v>60.9</v>
      </c>
      <c r="J60">
        <v>63.5</v>
      </c>
      <c r="K60">
        <v>63.1</v>
      </c>
      <c r="L60">
        <v>63</v>
      </c>
      <c r="M60">
        <v>63</v>
      </c>
      <c r="N60">
        <v>50.4</v>
      </c>
      <c r="O60">
        <v>42.4</v>
      </c>
      <c r="P60">
        <v>30</v>
      </c>
      <c r="Q60">
        <v>22.3</v>
      </c>
    </row>
    <row r="61" spans="2:17" x14ac:dyDescent="0.25">
      <c r="B61" s="18" t="s">
        <v>443</v>
      </c>
      <c r="C61" s="18">
        <v>4</v>
      </c>
      <c r="D61" s="18">
        <v>71.400000000000006</v>
      </c>
      <c r="E61" s="18">
        <v>181.3</v>
      </c>
      <c r="F61" s="18">
        <f>53.9+6.1</f>
        <v>60</v>
      </c>
      <c r="G61" s="470">
        <v>66.902563751345298</v>
      </c>
      <c r="H61" s="470">
        <v>58.728976867659455</v>
      </c>
      <c r="I61" s="18"/>
      <c r="J61" s="470">
        <v>61.728976867659455</v>
      </c>
      <c r="K61" s="470">
        <v>60.728976867659455</v>
      </c>
      <c r="L61" s="470">
        <v>59.728976867659455</v>
      </c>
      <c r="M61" s="470">
        <v>60.728976867659455</v>
      </c>
      <c r="N61" s="470">
        <v>49.728976867659455</v>
      </c>
      <c r="O61" s="470">
        <v>40.728976867659455</v>
      </c>
      <c r="P61" s="470">
        <v>28.728976867659455</v>
      </c>
      <c r="Q61" s="470">
        <v>20.728976867659455</v>
      </c>
    </row>
    <row r="62" spans="2:17" x14ac:dyDescent="0.25">
      <c r="B62" s="472" t="s">
        <v>404</v>
      </c>
      <c r="C62">
        <f>C60-C61</f>
        <v>0</v>
      </c>
      <c r="D62">
        <f t="shared" ref="D62:H62" si="19">D60-D61</f>
        <v>0</v>
      </c>
      <c r="E62">
        <f t="shared" si="19"/>
        <v>0</v>
      </c>
      <c r="F62" s="10">
        <f>F61-F60</f>
        <v>0.60000000000000142</v>
      </c>
      <c r="G62" s="10">
        <f t="shared" si="19"/>
        <v>2.2974362486547051</v>
      </c>
      <c r="H62" s="10">
        <f t="shared" si="19"/>
        <v>2.1710231323405438</v>
      </c>
      <c r="J62" s="10">
        <f t="shared" ref="J62:Q62" si="20">J60-J61</f>
        <v>1.7710231323405452</v>
      </c>
      <c r="K62" s="10">
        <f t="shared" si="20"/>
        <v>2.3710231323405466</v>
      </c>
      <c r="L62" s="10">
        <f t="shared" si="20"/>
        <v>3.2710231323405452</v>
      </c>
      <c r="M62" s="10">
        <f t="shared" si="20"/>
        <v>2.2710231323405452</v>
      </c>
      <c r="N62" s="10">
        <f t="shared" si="20"/>
        <v>0.67102313234054378</v>
      </c>
      <c r="O62" s="10">
        <f t="shared" si="20"/>
        <v>1.6710231323405438</v>
      </c>
      <c r="P62" s="10">
        <f t="shared" si="20"/>
        <v>1.2710231323405452</v>
      </c>
      <c r="Q62" s="10">
        <f t="shared" si="20"/>
        <v>1.5710231323405459</v>
      </c>
    </row>
    <row r="63" spans="2:17" x14ac:dyDescent="0.25">
      <c r="F63" s="557">
        <f>F62/F60</f>
        <v>1.0101010101010124E-2</v>
      </c>
    </row>
    <row r="64" spans="2:17" x14ac:dyDescent="0.25">
      <c r="B64" s="6" t="s">
        <v>269</v>
      </c>
      <c r="C64" t="s">
        <v>183</v>
      </c>
    </row>
    <row r="65" spans="2:17" x14ac:dyDescent="0.25">
      <c r="C65" t="s">
        <v>426</v>
      </c>
      <c r="D65" t="s">
        <v>301</v>
      </c>
      <c r="E65" t="s">
        <v>429</v>
      </c>
      <c r="F65" t="s">
        <v>427</v>
      </c>
      <c r="G65" t="s">
        <v>430</v>
      </c>
      <c r="H65" t="s">
        <v>185</v>
      </c>
      <c r="J65" s="471">
        <v>63</v>
      </c>
      <c r="K65" s="471">
        <v>125</v>
      </c>
      <c r="L65" s="471">
        <v>250</v>
      </c>
      <c r="M65" s="471">
        <v>500</v>
      </c>
      <c r="N65" s="471">
        <v>1000</v>
      </c>
      <c r="O65" s="471">
        <v>2000</v>
      </c>
      <c r="P65" s="471">
        <v>4000</v>
      </c>
      <c r="Q65" s="471">
        <v>8000</v>
      </c>
    </row>
    <row r="66" spans="2:17" x14ac:dyDescent="0.25">
      <c r="B66" t="s">
        <v>442</v>
      </c>
      <c r="C66">
        <v>6</v>
      </c>
      <c r="D66">
        <v>96.3</v>
      </c>
      <c r="E66">
        <v>40</v>
      </c>
      <c r="F66">
        <v>58.8</v>
      </c>
      <c r="G66">
        <v>73</v>
      </c>
      <c r="H66">
        <v>65.099999999999994</v>
      </c>
      <c r="J66">
        <v>67.599999999999994</v>
      </c>
      <c r="K66">
        <v>67</v>
      </c>
      <c r="L66">
        <v>67.400000000000006</v>
      </c>
      <c r="M66">
        <v>64.2</v>
      </c>
      <c r="N66">
        <v>58.1</v>
      </c>
      <c r="O66">
        <v>56.2</v>
      </c>
      <c r="P66">
        <v>50.3</v>
      </c>
      <c r="Q66">
        <v>37.200000000000003</v>
      </c>
    </row>
    <row r="67" spans="2:17" x14ac:dyDescent="0.25">
      <c r="B67" s="18" t="s">
        <v>443</v>
      </c>
      <c r="C67" s="341">
        <v>5.97</v>
      </c>
      <c r="D67" s="18">
        <v>96.3</v>
      </c>
      <c r="E67" s="18">
        <v>40</v>
      </c>
      <c r="F67" s="470">
        <f>53.4+6.1</f>
        <v>59.5</v>
      </c>
      <c r="G67" s="470">
        <v>72.37578004254145</v>
      </c>
      <c r="H67" s="470">
        <v>64.181987850777261</v>
      </c>
      <c r="I67" s="18"/>
      <c r="J67" s="470">
        <v>66.181987850777261</v>
      </c>
      <c r="K67" s="470">
        <v>66.181987850777261</v>
      </c>
      <c r="L67" s="470">
        <v>68.181987850777261</v>
      </c>
      <c r="M67" s="470">
        <v>62.181987850777261</v>
      </c>
      <c r="N67" s="470">
        <v>56.181987850777261</v>
      </c>
      <c r="O67" s="470">
        <v>54.181987850777261</v>
      </c>
      <c r="P67" s="470">
        <v>48.181987850777261</v>
      </c>
      <c r="Q67" s="470">
        <v>35.181987850777261</v>
      </c>
    </row>
    <row r="68" spans="2:17" x14ac:dyDescent="0.25">
      <c r="B68" s="472" t="s">
        <v>404</v>
      </c>
      <c r="C68" s="1">
        <f>C66-C67</f>
        <v>3.0000000000000249E-2</v>
      </c>
      <c r="D68">
        <f t="shared" ref="D68:H68" si="21">D66-D67</f>
        <v>0</v>
      </c>
      <c r="E68">
        <f t="shared" si="21"/>
        <v>0</v>
      </c>
      <c r="F68" s="10">
        <f>F67-F66</f>
        <v>0.70000000000000284</v>
      </c>
      <c r="G68" s="10">
        <f t="shared" si="21"/>
        <v>0.62421995745854986</v>
      </c>
      <c r="H68" s="10">
        <f t="shared" si="21"/>
        <v>0.91801214922273289</v>
      </c>
      <c r="J68" s="10">
        <f t="shared" ref="J68:Q68" si="22">J66-J67</f>
        <v>1.4180121492227329</v>
      </c>
      <c r="K68" s="10">
        <f t="shared" si="22"/>
        <v>0.81801214922273857</v>
      </c>
      <c r="L68" s="10">
        <f t="shared" si="22"/>
        <v>-0.78198785077725574</v>
      </c>
      <c r="M68" s="10">
        <f t="shared" si="22"/>
        <v>2.0180121492227414</v>
      </c>
      <c r="N68" s="10">
        <f t="shared" si="22"/>
        <v>1.91801214922274</v>
      </c>
      <c r="O68" s="10">
        <f t="shared" si="22"/>
        <v>2.0180121492227414</v>
      </c>
      <c r="P68" s="10">
        <f t="shared" si="22"/>
        <v>2.1180121492227357</v>
      </c>
      <c r="Q68" s="10">
        <f t="shared" si="22"/>
        <v>2.0180121492227414</v>
      </c>
    </row>
    <row r="69" spans="2:17" x14ac:dyDescent="0.25">
      <c r="F69" s="557">
        <f>F68/F66</f>
        <v>1.1904761904761954E-2</v>
      </c>
    </row>
    <row r="70" spans="2:17" x14ac:dyDescent="0.25">
      <c r="B70" s="6" t="s">
        <v>449</v>
      </c>
      <c r="C70" t="s">
        <v>181</v>
      </c>
    </row>
    <row r="71" spans="2:17" x14ac:dyDescent="0.25">
      <c r="C71" t="s">
        <v>426</v>
      </c>
      <c r="D71" t="s">
        <v>301</v>
      </c>
      <c r="E71" t="s">
        <v>429</v>
      </c>
      <c r="F71" t="s">
        <v>427</v>
      </c>
      <c r="G71" t="s">
        <v>430</v>
      </c>
      <c r="H71" t="s">
        <v>185</v>
      </c>
      <c r="J71" s="471">
        <v>63</v>
      </c>
      <c r="K71" s="471">
        <v>125</v>
      </c>
      <c r="L71" s="471">
        <v>250</v>
      </c>
      <c r="M71" s="471">
        <v>500</v>
      </c>
      <c r="N71" s="471">
        <v>1000</v>
      </c>
      <c r="O71" s="471">
        <v>2000</v>
      </c>
      <c r="P71" s="471">
        <v>4000</v>
      </c>
      <c r="Q71" s="471">
        <v>8000</v>
      </c>
    </row>
    <row r="72" spans="2:17" x14ac:dyDescent="0.25">
      <c r="B72" t="s">
        <v>442</v>
      </c>
      <c r="C72">
        <v>8</v>
      </c>
      <c r="D72">
        <v>103.3</v>
      </c>
      <c r="E72">
        <v>249.7</v>
      </c>
      <c r="F72">
        <v>121.2</v>
      </c>
      <c r="G72">
        <v>71.099999999999994</v>
      </c>
      <c r="H72">
        <v>60.8</v>
      </c>
      <c r="J72">
        <v>66.900000000000006</v>
      </c>
      <c r="K72">
        <v>66.7</v>
      </c>
      <c r="L72">
        <v>61.8</v>
      </c>
      <c r="M72">
        <v>61.7</v>
      </c>
      <c r="N72">
        <v>52.6</v>
      </c>
      <c r="O72">
        <v>49.8</v>
      </c>
      <c r="P72">
        <v>38.700000000000003</v>
      </c>
      <c r="Q72">
        <v>29.4</v>
      </c>
    </row>
    <row r="73" spans="2:17" x14ac:dyDescent="0.25">
      <c r="B73" s="18" t="s">
        <v>443</v>
      </c>
      <c r="C73" s="341">
        <v>8.02</v>
      </c>
      <c r="D73" s="18">
        <v>103.3</v>
      </c>
      <c r="E73" s="18">
        <v>249.7</v>
      </c>
      <c r="F73" s="470">
        <f>115.6+6.1</f>
        <v>121.69999999999999</v>
      </c>
      <c r="G73" s="470">
        <v>71.288780086184516</v>
      </c>
      <c r="H73" s="470">
        <v>61.829103954641766</v>
      </c>
      <c r="I73" s="18"/>
      <c r="J73" s="470">
        <v>66.829103954641766</v>
      </c>
      <c r="K73" s="470">
        <v>66.829103954641766</v>
      </c>
      <c r="L73" s="470">
        <v>62.829103954641766</v>
      </c>
      <c r="M73" s="470">
        <v>61.829103954641766</v>
      </c>
      <c r="N73" s="470">
        <v>53.829103954641766</v>
      </c>
      <c r="O73" s="470">
        <v>50.829103954641766</v>
      </c>
      <c r="P73" s="470">
        <v>40.829103954641766</v>
      </c>
      <c r="Q73" s="470">
        <v>30.829103954641766</v>
      </c>
    </row>
    <row r="74" spans="2:17" x14ac:dyDescent="0.25">
      <c r="B74" s="472" t="s">
        <v>404</v>
      </c>
      <c r="C74" s="1">
        <f>C72-C73</f>
        <v>-1.9999999999999574E-2</v>
      </c>
      <c r="D74">
        <f t="shared" ref="D74:H74" si="23">D72-D73</f>
        <v>0</v>
      </c>
      <c r="E74">
        <f t="shared" si="23"/>
        <v>0</v>
      </c>
      <c r="F74" s="10">
        <f>F73-F72</f>
        <v>0.49999999999998579</v>
      </c>
      <c r="G74" s="10">
        <f t="shared" si="23"/>
        <v>-0.18878008618452213</v>
      </c>
      <c r="H74" s="10">
        <f t="shared" si="23"/>
        <v>-1.0291039546417693</v>
      </c>
      <c r="J74" s="10">
        <f t="shared" ref="J74:Q74" si="24">J72-J73</f>
        <v>7.0896045358239235E-2</v>
      </c>
      <c r="K74" s="10">
        <f t="shared" si="24"/>
        <v>-0.12910395464176361</v>
      </c>
      <c r="L74" s="10">
        <f t="shared" si="24"/>
        <v>-1.0291039546417693</v>
      </c>
      <c r="M74" s="10">
        <f t="shared" si="24"/>
        <v>-0.12910395464176361</v>
      </c>
      <c r="N74" s="10">
        <f t="shared" si="24"/>
        <v>-1.229103954641765</v>
      </c>
      <c r="O74" s="10">
        <f t="shared" si="24"/>
        <v>-1.0291039546417693</v>
      </c>
      <c r="P74" s="10">
        <f t="shared" si="24"/>
        <v>-2.1291039546417636</v>
      </c>
      <c r="Q74" s="10">
        <f t="shared" si="24"/>
        <v>-1.4291039546417679</v>
      </c>
    </row>
    <row r="75" spans="2:17" x14ac:dyDescent="0.25">
      <c r="F75" s="557">
        <f>F74/F72</f>
        <v>4.1254125412540079E-3</v>
      </c>
    </row>
    <row r="79" spans="2:17" x14ac:dyDescent="0.25">
      <c r="B79" s="6">
        <v>8</v>
      </c>
      <c r="C79" t="s">
        <v>200</v>
      </c>
    </row>
    <row r="80" spans="2:17" x14ac:dyDescent="0.25">
      <c r="C80" t="s">
        <v>426</v>
      </c>
      <c r="D80" t="s">
        <v>301</v>
      </c>
      <c r="E80" t="s">
        <v>429</v>
      </c>
      <c r="F80" t="s">
        <v>491</v>
      </c>
      <c r="G80" t="s">
        <v>430</v>
      </c>
      <c r="H80" t="s">
        <v>185</v>
      </c>
      <c r="J80" s="471">
        <v>63</v>
      </c>
      <c r="K80" s="471">
        <v>125</v>
      </c>
      <c r="L80" s="471">
        <v>250</v>
      </c>
      <c r="M80" s="471">
        <v>500</v>
      </c>
      <c r="N80" s="471">
        <v>1000</v>
      </c>
      <c r="O80" s="471">
        <v>2000</v>
      </c>
      <c r="P80" s="471">
        <v>4000</v>
      </c>
      <c r="Q80" s="471">
        <v>8000</v>
      </c>
    </row>
    <row r="81" spans="1:17" x14ac:dyDescent="0.25">
      <c r="A81" t="s">
        <v>0</v>
      </c>
      <c r="B81" t="s">
        <v>442</v>
      </c>
      <c r="C81">
        <v>10</v>
      </c>
      <c r="D81">
        <v>151.4</v>
      </c>
      <c r="E81">
        <v>102.4</v>
      </c>
      <c r="F81">
        <v>355.4</v>
      </c>
      <c r="G81">
        <v>59.2</v>
      </c>
      <c r="H81">
        <v>53.9</v>
      </c>
      <c r="J81">
        <v>52.8</v>
      </c>
      <c r="K81">
        <v>51.6</v>
      </c>
      <c r="L81">
        <v>50.8</v>
      </c>
      <c r="M81">
        <v>54.6</v>
      </c>
      <c r="N81">
        <v>48.9</v>
      </c>
      <c r="O81">
        <v>37.799999999999997</v>
      </c>
      <c r="P81">
        <v>34</v>
      </c>
      <c r="Q81">
        <v>33.1</v>
      </c>
    </row>
    <row r="82" spans="1:17" x14ac:dyDescent="0.25">
      <c r="B82" s="18" t="s">
        <v>443</v>
      </c>
      <c r="C82" s="341">
        <v>10</v>
      </c>
      <c r="D82" s="18">
        <v>151.4</v>
      </c>
      <c r="E82" s="18">
        <v>100</v>
      </c>
      <c r="F82" s="470">
        <v>358</v>
      </c>
      <c r="G82" s="470">
        <v>58.794131600464212</v>
      </c>
      <c r="H82" s="470">
        <v>54</v>
      </c>
      <c r="I82" s="18"/>
      <c r="J82" s="470">
        <v>52</v>
      </c>
      <c r="K82" s="470">
        <v>51</v>
      </c>
      <c r="L82" s="470">
        <v>50</v>
      </c>
      <c r="M82" s="470">
        <v>55</v>
      </c>
      <c r="N82" s="470">
        <v>47</v>
      </c>
      <c r="O82" s="470">
        <v>36</v>
      </c>
      <c r="P82" s="470">
        <v>32</v>
      </c>
      <c r="Q82" s="470">
        <v>31</v>
      </c>
    </row>
    <row r="83" spans="1:17" x14ac:dyDescent="0.25">
      <c r="B83" s="472" t="s">
        <v>404</v>
      </c>
      <c r="C83" s="1">
        <f>C81-C82</f>
        <v>0</v>
      </c>
      <c r="D83">
        <f t="shared" ref="D83:H83" si="25">D81-D82</f>
        <v>0</v>
      </c>
      <c r="E83">
        <f t="shared" si="25"/>
        <v>2.4000000000000057</v>
      </c>
      <c r="F83" s="10">
        <f>F82-F81</f>
        <v>2.6000000000000227</v>
      </c>
      <c r="G83" s="10">
        <f t="shared" si="25"/>
        <v>0.40586839953579101</v>
      </c>
      <c r="H83" s="10">
        <f t="shared" si="25"/>
        <v>-0.10000000000000142</v>
      </c>
      <c r="J83" s="10">
        <f t="shared" ref="J83:Q83" si="26">J81-J82</f>
        <v>0.79999999999999716</v>
      </c>
      <c r="K83" s="10">
        <f t="shared" si="26"/>
        <v>0.60000000000000142</v>
      </c>
      <c r="L83" s="10">
        <f t="shared" si="26"/>
        <v>0.79999999999999716</v>
      </c>
      <c r="M83" s="10">
        <f t="shared" si="26"/>
        <v>-0.39999999999999858</v>
      </c>
      <c r="N83" s="10">
        <f t="shared" si="26"/>
        <v>1.8999999999999986</v>
      </c>
      <c r="O83" s="10">
        <f t="shared" si="26"/>
        <v>1.7999999999999972</v>
      </c>
      <c r="P83" s="10">
        <f t="shared" si="26"/>
        <v>2</v>
      </c>
      <c r="Q83" s="10">
        <f t="shared" si="26"/>
        <v>2.1000000000000014</v>
      </c>
    </row>
    <row r="84" spans="1:17" x14ac:dyDescent="0.25">
      <c r="F84" s="557">
        <f>F83/F81</f>
        <v>7.3157006190208863E-3</v>
      </c>
    </row>
    <row r="86" spans="1:17" x14ac:dyDescent="0.25">
      <c r="A86" t="s">
        <v>2</v>
      </c>
      <c r="B86" t="s">
        <v>442</v>
      </c>
      <c r="C86">
        <v>10</v>
      </c>
      <c r="D86">
        <v>154.69999999999999</v>
      </c>
      <c r="E86">
        <v>125.6</v>
      </c>
    </row>
    <row r="87" spans="1:17" x14ac:dyDescent="0.25">
      <c r="B87" s="18" t="s">
        <v>443</v>
      </c>
      <c r="C87" s="341">
        <v>10</v>
      </c>
      <c r="D87" s="18">
        <v>154.69999999999999</v>
      </c>
      <c r="E87" s="18">
        <v>123</v>
      </c>
    </row>
    <row r="88" spans="1:17" x14ac:dyDescent="0.25">
      <c r="B88" s="472" t="s">
        <v>404</v>
      </c>
      <c r="C88" s="1">
        <f>C86-C87</f>
        <v>0</v>
      </c>
      <c r="D88">
        <f t="shared" ref="D88:E88" si="27">D86-D87</f>
        <v>0</v>
      </c>
      <c r="E88">
        <f t="shared" si="27"/>
        <v>2.5999999999999943</v>
      </c>
    </row>
    <row r="103" spans="1:17" x14ac:dyDescent="0.25">
      <c r="B103" s="6">
        <v>9</v>
      </c>
      <c r="C103" t="s">
        <v>200</v>
      </c>
    </row>
    <row r="104" spans="1:17" x14ac:dyDescent="0.25">
      <c r="C104" t="s">
        <v>426</v>
      </c>
      <c r="D104" t="s">
        <v>301</v>
      </c>
      <c r="E104" t="s">
        <v>429</v>
      </c>
      <c r="F104" t="s">
        <v>491</v>
      </c>
      <c r="G104" t="s">
        <v>430</v>
      </c>
      <c r="H104" t="s">
        <v>185</v>
      </c>
      <c r="J104" s="471">
        <v>63</v>
      </c>
      <c r="K104" s="471">
        <v>125</v>
      </c>
      <c r="L104" s="471">
        <v>250</v>
      </c>
      <c r="M104" s="471">
        <v>500</v>
      </c>
      <c r="N104" s="471">
        <v>1000</v>
      </c>
      <c r="O104" s="471">
        <v>2000</v>
      </c>
      <c r="P104" s="471">
        <v>4000</v>
      </c>
      <c r="Q104" s="471">
        <v>8000</v>
      </c>
    </row>
    <row r="105" spans="1:17" x14ac:dyDescent="0.25">
      <c r="A105" t="s">
        <v>0</v>
      </c>
      <c r="B105" t="s">
        <v>442</v>
      </c>
      <c r="C105">
        <v>4</v>
      </c>
      <c r="D105">
        <v>49.4</v>
      </c>
      <c r="E105" s="468">
        <v>31.4</v>
      </c>
      <c r="F105">
        <v>43.5</v>
      </c>
      <c r="G105">
        <v>48.3</v>
      </c>
      <c r="H105">
        <v>36.9</v>
      </c>
      <c r="J105">
        <v>46.4</v>
      </c>
      <c r="K105">
        <v>39.6</v>
      </c>
      <c r="L105">
        <v>40.9</v>
      </c>
      <c r="M105">
        <v>36.700000000000003</v>
      </c>
      <c r="N105">
        <v>31.3</v>
      </c>
      <c r="O105">
        <v>20.8</v>
      </c>
      <c r="P105">
        <v>9.9</v>
      </c>
      <c r="Q105">
        <v>6.1</v>
      </c>
    </row>
    <row r="106" spans="1:17" x14ac:dyDescent="0.25">
      <c r="B106" s="18" t="s">
        <v>443</v>
      </c>
      <c r="C106" s="341">
        <v>3.98</v>
      </c>
      <c r="D106" s="18">
        <v>49.4</v>
      </c>
      <c r="E106" s="18">
        <v>31.4</v>
      </c>
      <c r="F106" s="470">
        <v>47</v>
      </c>
      <c r="G106" s="470">
        <v>49.311071562415592</v>
      </c>
      <c r="H106" s="470">
        <v>38</v>
      </c>
      <c r="I106" s="18"/>
      <c r="J106" s="470">
        <v>47</v>
      </c>
      <c r="K106" s="470">
        <v>41</v>
      </c>
      <c r="L106" s="470">
        <v>42</v>
      </c>
      <c r="M106" s="470">
        <v>37</v>
      </c>
      <c r="N106" s="470">
        <v>32</v>
      </c>
      <c r="O106" s="470">
        <v>22</v>
      </c>
      <c r="P106" s="470">
        <v>11</v>
      </c>
      <c r="Q106" s="470">
        <v>8</v>
      </c>
    </row>
    <row r="107" spans="1:17" x14ac:dyDescent="0.25">
      <c r="B107" s="472" t="s">
        <v>404</v>
      </c>
      <c r="C107" s="1">
        <f>C105-C106</f>
        <v>2.0000000000000018E-2</v>
      </c>
      <c r="D107">
        <f t="shared" ref="D107:H107" si="28">D105-D106</f>
        <v>0</v>
      </c>
      <c r="E107">
        <f t="shared" si="28"/>
        <v>0</v>
      </c>
      <c r="F107" s="10">
        <f>F106-F105</f>
        <v>3.5</v>
      </c>
      <c r="G107" s="10">
        <f t="shared" si="28"/>
        <v>-1.0110715624155944</v>
      </c>
      <c r="H107" s="10">
        <f t="shared" si="28"/>
        <v>-1.1000000000000014</v>
      </c>
      <c r="J107" s="10">
        <f t="shared" ref="J107:Q107" si="29">J105-J106</f>
        <v>-0.60000000000000142</v>
      </c>
      <c r="K107" s="10">
        <f t="shared" si="29"/>
        <v>-1.3999999999999986</v>
      </c>
      <c r="L107" s="10">
        <f t="shared" si="29"/>
        <v>-1.1000000000000014</v>
      </c>
      <c r="M107" s="10">
        <f t="shared" si="29"/>
        <v>-0.29999999999999716</v>
      </c>
      <c r="N107" s="10">
        <f t="shared" si="29"/>
        <v>-0.69999999999999929</v>
      </c>
      <c r="O107" s="10">
        <f t="shared" si="29"/>
        <v>-1.1999999999999993</v>
      </c>
      <c r="P107" s="10">
        <f t="shared" si="29"/>
        <v>-1.0999999999999996</v>
      </c>
      <c r="Q107" s="10">
        <f t="shared" si="29"/>
        <v>-1.9000000000000004</v>
      </c>
    </row>
    <row r="108" spans="1:17" x14ac:dyDescent="0.25">
      <c r="F108" s="559">
        <f>F107/F105</f>
        <v>8.0459770114942528E-2</v>
      </c>
    </row>
    <row r="110" spans="1:17" x14ac:dyDescent="0.25">
      <c r="A110" t="s">
        <v>2</v>
      </c>
      <c r="B110" t="s">
        <v>442</v>
      </c>
      <c r="C110">
        <v>4</v>
      </c>
      <c r="D110" s="468">
        <v>57.1</v>
      </c>
      <c r="E110" s="468">
        <v>38.1</v>
      </c>
    </row>
    <row r="111" spans="1:17" x14ac:dyDescent="0.25">
      <c r="B111" s="18" t="s">
        <v>443</v>
      </c>
      <c r="C111" s="341">
        <v>4.0599999999999996</v>
      </c>
      <c r="D111" s="18">
        <v>57</v>
      </c>
      <c r="E111" s="18">
        <v>38</v>
      </c>
    </row>
    <row r="112" spans="1:17" x14ac:dyDescent="0.25">
      <c r="B112" s="472" t="s">
        <v>404</v>
      </c>
      <c r="C112" s="1">
        <f>C110-C111</f>
        <v>-5.9999999999999609E-2</v>
      </c>
      <c r="D112">
        <f t="shared" ref="D112:E112" si="30">D110-D111</f>
        <v>0.10000000000000142</v>
      </c>
      <c r="E112">
        <f t="shared" si="30"/>
        <v>0.10000000000000142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92D8241D79C9843971862C77B776BD2" ma:contentTypeVersion="16" ma:contentTypeDescription="Luo uusi asiakirja." ma:contentTypeScope="" ma:versionID="8ba663145860e11bd5cddb071437e26f">
  <xsd:schema xmlns:xsd="http://www.w3.org/2001/XMLSchema" xmlns:xs="http://www.w3.org/2001/XMLSchema" xmlns:p="http://schemas.microsoft.com/office/2006/metadata/properties" xmlns:ns2="1c8645e0-2969-4206-9e92-badac5611f83" xmlns:ns3="7b70fa82-757f-4e3a-a58b-563b923b5431" targetNamespace="http://schemas.microsoft.com/office/2006/metadata/properties" ma:root="true" ma:fieldsID="d7c822a8ca88d285fab5b8b45a79136f" ns2:_="" ns3:_="">
    <xsd:import namespace="1c8645e0-2969-4206-9e92-badac5611f83"/>
    <xsd:import namespace="7b70fa82-757f-4e3a-a58b-563b923b5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645e0-2969-4206-9e92-badac5611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Kuvien tunnisteet" ma:readOnly="false" ma:fieldId="{5cf76f15-5ced-4ddc-b409-7134ff3c332f}" ma:taxonomyMulti="true" ma:sspId="ae90de6c-2474-4014-b9e0-f555cefa26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0fa82-757f-4e3a-a58b-563b923b543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6d34f3f-dc10-4458-9fb3-883fb0a2631e}" ma:internalName="TaxCatchAll" ma:showField="CatchAllData" ma:web="7b70fa82-757f-4e3a-a58b-563b923b5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70fa82-757f-4e3a-a58b-563b923b5431" xsi:nil="true"/>
    <lcf76f155ced4ddcb4097134ff3c332f xmlns="1c8645e0-2969-4206-9e92-badac5611f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6C1D8E-E974-427B-996F-E37E9255B2D6}"/>
</file>

<file path=customXml/itemProps2.xml><?xml version="1.0" encoding="utf-8"?>
<ds:datastoreItem xmlns:ds="http://schemas.openxmlformats.org/officeDocument/2006/customXml" ds:itemID="{9E47012E-1351-4C99-BFB3-AA21E5FDDA34}"/>
</file>

<file path=customXml/itemProps3.xml><?xml version="1.0" encoding="utf-8"?>
<ds:datastoreItem xmlns:ds="http://schemas.openxmlformats.org/officeDocument/2006/customXml" ds:itemID="{D4A6F069-040B-4B88-872E-349CE49B5C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11</vt:i4>
      </vt:variant>
      <vt:variant>
        <vt:lpstr>Nimetyt alueet</vt:lpstr>
      </vt:variant>
      <vt:variant>
        <vt:i4>2</vt:i4>
      </vt:variant>
    </vt:vector>
  </HeadingPairs>
  <TitlesOfParts>
    <vt:vector size="13" baseType="lpstr">
      <vt:lpstr>Tulostus</vt:lpstr>
      <vt:lpstr>SFP ja kokonaisteho</vt:lpstr>
      <vt:lpstr>Laskenta tulopuoli</vt:lpstr>
      <vt:lpstr>Laskenta poistopuoli</vt:lpstr>
      <vt:lpstr>Laskenta poistopuoli_W</vt:lpstr>
      <vt:lpstr>Laskenta äänitehotasot</vt:lpstr>
      <vt:lpstr>SEC laskenta</vt:lpstr>
      <vt:lpstr>LTO HS-laskenta</vt:lpstr>
      <vt:lpstr>LTO-kennon HS</vt:lpstr>
      <vt:lpstr>Loki</vt:lpstr>
      <vt:lpstr>Validointi</vt:lpstr>
      <vt:lpstr>'SEC laskenta'!Tulostusalue</vt:lpstr>
      <vt:lpstr>Tulostus!Tulostusalue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0x010100C92D8241D79C9843971862C77B776BD2</vt:lpwstr>
  </property>
</Properties>
</file>